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300102592\Documents\Archive-2018_2019\BUAD116\"/>
    </mc:Choice>
  </mc:AlternateContent>
  <bookViews>
    <workbookView xWindow="7335" yWindow="540" windowWidth="2460" windowHeight="7050"/>
  </bookViews>
  <sheets>
    <sheet name="FINAL GRADES" sheetId="7" r:id="rId1"/>
    <sheet name="Grades" sheetId="1" r:id="rId2"/>
    <sheet name="GROUPINGS" sheetId="5" r:id="rId3"/>
    <sheet name="Exam Charts" sheetId="4" r:id="rId4"/>
    <sheet name="Form" sheetId="3" r:id="rId5"/>
    <sheet name="Sheet2" sheetId="6" r:id="rId6"/>
  </sheets>
  <definedNames>
    <definedName name="_xlnm._FilterDatabase" localSheetId="0" hidden="1">'FINAL GRADES'!$A$4:$K$48</definedName>
    <definedName name="_xlnm._FilterDatabase" localSheetId="1" hidden="1">Grades!$A$4:$AM$48</definedName>
    <definedName name="_xlnm._FilterDatabase" localSheetId="2" hidden="1">GROUPINGS!$A$1:$D$1</definedName>
    <definedName name="grades" localSheetId="0">'FINAL GRADES'!$B$5:$D$48</definedName>
    <definedName name="grades">Grades!$B$5:$AF$48</definedName>
    <definedName name="sorted" localSheetId="0">#REF!</definedName>
    <definedName name="sorted">#REF!</definedName>
    <definedName name="table" localSheetId="0">'FINAL GRADES'!$B$7:$D$38</definedName>
    <definedName name="table">Grades!$B$7:$W$38</definedName>
  </definedNames>
  <calcPr calcId="162913"/>
</workbook>
</file>

<file path=xl/calcChain.xml><?xml version="1.0" encoding="utf-8"?>
<calcChain xmlns="http://schemas.openxmlformats.org/spreadsheetml/2006/main">
  <c r="B5" i="3" l="1"/>
  <c r="B4" i="3"/>
  <c r="D29" i="7" l="1"/>
  <c r="D36" i="7"/>
  <c r="D30" i="7"/>
  <c r="D38" i="7"/>
  <c r="D25" i="7"/>
  <c r="D37" i="7"/>
  <c r="D44" i="7"/>
  <c r="D43" i="7"/>
  <c r="D48" i="7"/>
  <c r="D14" i="7"/>
  <c r="D24" i="7"/>
  <c r="D32" i="7"/>
  <c r="D26" i="7"/>
  <c r="D13" i="7"/>
  <c r="D9" i="7"/>
  <c r="D7" i="7"/>
  <c r="D27" i="7"/>
  <c r="D12" i="7"/>
  <c r="D45" i="7"/>
  <c r="D21" i="7"/>
  <c r="D19" i="7"/>
  <c r="D34" i="7"/>
  <c r="D10" i="7"/>
  <c r="D31" i="7"/>
  <c r="D22" i="7"/>
  <c r="D18" i="7"/>
  <c r="D46" i="7"/>
  <c r="D42" i="7"/>
  <c r="D33" i="7"/>
  <c r="D5" i="7"/>
  <c r="D40" i="7"/>
  <c r="D23" i="7"/>
  <c r="D16" i="7"/>
  <c r="D17" i="7"/>
  <c r="D47" i="7"/>
  <c r="D41" i="7"/>
  <c r="D28" i="7"/>
  <c r="D39" i="7"/>
  <c r="D8" i="7"/>
  <c r="D35" i="7"/>
  <c r="D6" i="7"/>
  <c r="D15" i="7"/>
  <c r="D11" i="7"/>
  <c r="D20" i="7"/>
  <c r="O9" i="1"/>
  <c r="O24" i="1"/>
  <c r="O46" i="1"/>
  <c r="O47" i="1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R20" i="1" l="1"/>
  <c r="R17" i="1" l="1"/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5" i="7" l="1"/>
  <c r="H5" i="7"/>
  <c r="G5" i="7"/>
  <c r="F5" i="7"/>
  <c r="J15" i="7" l="1"/>
  <c r="K15" i="7" s="1"/>
  <c r="J16" i="7"/>
  <c r="J27" i="7"/>
  <c r="K27" i="7" s="1"/>
  <c r="J40" i="7"/>
  <c r="K40" i="7" s="1"/>
  <c r="N9" i="1"/>
  <c r="N24" i="1"/>
  <c r="N46" i="1"/>
  <c r="N47" i="1"/>
  <c r="V36" i="1" l="1"/>
  <c r="V17" i="1" l="1"/>
  <c r="V39" i="1"/>
  <c r="V44" i="1"/>
  <c r="V37" i="1"/>
  <c r="V14" i="1"/>
  <c r="V45" i="1"/>
  <c r="V30" i="1"/>
  <c r="V19" i="1"/>
  <c r="V20" i="1"/>
  <c r="V27" i="1"/>
  <c r="V12" i="1"/>
  <c r="V18" i="1"/>
  <c r="V5" i="1"/>
  <c r="V25" i="1"/>
  <c r="V32" i="1"/>
  <c r="V23" i="1"/>
  <c r="V46" i="1"/>
  <c r="V40" i="1"/>
  <c r="V42" i="1"/>
  <c r="V43" i="1"/>
  <c r="V41" i="1"/>
  <c r="V34" i="1"/>
  <c r="V35" i="1"/>
  <c r="V48" i="1"/>
  <c r="V7" i="1"/>
  <c r="V26" i="1"/>
  <c r="V33" i="1"/>
  <c r="V10" i="1"/>
  <c r="V15" i="1"/>
  <c r="V6" i="1"/>
  <c r="AL6" i="1" s="1"/>
  <c r="E5" i="7" s="1"/>
  <c r="V47" i="1"/>
  <c r="V21" i="1"/>
  <c r="V24" i="1"/>
  <c r="V11" i="1"/>
  <c r="V13" i="1"/>
  <c r="V38" i="1"/>
  <c r="V8" i="1"/>
  <c r="V31" i="1"/>
  <c r="V28" i="1"/>
  <c r="V22" i="1"/>
  <c r="V29" i="1"/>
  <c r="V9" i="1"/>
  <c r="V16" i="1"/>
  <c r="AL36" i="1"/>
  <c r="E20" i="7" s="1"/>
  <c r="AL38" i="1" l="1"/>
  <c r="E41" i="7" s="1"/>
  <c r="AL16" i="1"/>
  <c r="E11" i="7" s="1"/>
  <c r="AL28" i="1"/>
  <c r="E8" i="7" s="1"/>
  <c r="AL13" i="1"/>
  <c r="E47" i="7" s="1"/>
  <c r="AL47" i="1"/>
  <c r="E40" i="7" s="1"/>
  <c r="AL33" i="1"/>
  <c r="E46" i="7" s="1"/>
  <c r="AL35" i="1"/>
  <c r="E10" i="7" s="1"/>
  <c r="AL42" i="1"/>
  <c r="E21" i="7" s="1"/>
  <c r="AL32" i="1"/>
  <c r="E9" i="7" s="1"/>
  <c r="AL12" i="1"/>
  <c r="E24" i="7" s="1"/>
  <c r="AL30" i="1"/>
  <c r="E44" i="7" s="1"/>
  <c r="AL44" i="1"/>
  <c r="E30" i="7" s="1"/>
  <c r="AL9" i="1"/>
  <c r="E15" i="7" s="1"/>
  <c r="AL26" i="1"/>
  <c r="E18" i="7" s="1"/>
  <c r="AL34" i="1"/>
  <c r="E34" i="7" s="1"/>
  <c r="AL40" i="1"/>
  <c r="E12" i="7" s="1"/>
  <c r="AL25" i="1"/>
  <c r="E13" i="7" s="1"/>
  <c r="AL27" i="1"/>
  <c r="E14" i="7" s="1"/>
  <c r="AL45" i="1"/>
  <c r="E37" i="7" s="1"/>
  <c r="AL39" i="1"/>
  <c r="E36" i="7" s="1"/>
  <c r="AL31" i="1"/>
  <c r="E39" i="7" s="1"/>
  <c r="AL11" i="1"/>
  <c r="E17" i="7" s="1"/>
  <c r="AL29" i="1"/>
  <c r="E6" i="7" s="1"/>
  <c r="AL8" i="1"/>
  <c r="E28" i="7" s="1"/>
  <c r="AL24" i="1"/>
  <c r="E16" i="7" s="1"/>
  <c r="AL15" i="1"/>
  <c r="E33" i="7" s="1"/>
  <c r="AL7" i="1"/>
  <c r="E22" i="7" s="1"/>
  <c r="AL41" i="1"/>
  <c r="E19" i="7" s="1"/>
  <c r="AL46" i="1"/>
  <c r="E27" i="7" s="1"/>
  <c r="AL5" i="1"/>
  <c r="E26" i="7" s="1"/>
  <c r="AL20" i="1"/>
  <c r="E48" i="7" s="1"/>
  <c r="AL14" i="1"/>
  <c r="E25" i="7" s="1"/>
  <c r="AL17" i="1"/>
  <c r="E29" i="7" s="1"/>
  <c r="AL22" i="1"/>
  <c r="E35" i="7" s="1"/>
  <c r="AL21" i="1"/>
  <c r="E23" i="7" s="1"/>
  <c r="AL10" i="1"/>
  <c r="E42" i="7" s="1"/>
  <c r="AL48" i="1"/>
  <c r="E31" i="7" s="1"/>
  <c r="AL43" i="1"/>
  <c r="E45" i="7" s="1"/>
  <c r="AL23" i="1"/>
  <c r="E7" i="7" s="1"/>
  <c r="AL18" i="1"/>
  <c r="E32" i="7" s="1"/>
  <c r="AL19" i="1"/>
  <c r="E43" i="7" s="1"/>
  <c r="AL37" i="1"/>
  <c r="E38" i="7" s="1"/>
  <c r="K16" i="7" l="1"/>
  <c r="K23" i="1"/>
  <c r="O23" i="1" s="1"/>
  <c r="K28" i="1"/>
  <c r="O28" i="1" s="1"/>
  <c r="K16" i="1"/>
  <c r="O16" i="1" s="1"/>
  <c r="K27" i="1"/>
  <c r="O27" i="1" s="1"/>
  <c r="K41" i="1"/>
  <c r="O41" i="1" s="1"/>
  <c r="K7" i="1"/>
  <c r="O7" i="1" s="1"/>
  <c r="K21" i="1"/>
  <c r="O21" i="1" s="1"/>
  <c r="K5" i="1"/>
  <c r="O5" i="1" s="1"/>
  <c r="K44" i="1"/>
  <c r="O44" i="1" s="1"/>
  <c r="K48" i="1"/>
  <c r="O48" i="1" s="1"/>
  <c r="K34" i="1"/>
  <c r="O34" i="1" s="1"/>
  <c r="K22" i="1"/>
  <c r="O22" i="1" s="1"/>
  <c r="K31" i="1"/>
  <c r="O31" i="1" s="1"/>
  <c r="K10" i="1"/>
  <c r="O10" i="1" s="1"/>
  <c r="K19" i="1"/>
  <c r="O19" i="1" s="1"/>
  <c r="K13" i="1"/>
  <c r="O13" i="1" s="1"/>
  <c r="K8" i="1"/>
  <c r="O8" i="1" s="1"/>
  <c r="K11" i="1"/>
  <c r="O11" i="1" s="1"/>
  <c r="K12" i="1"/>
  <c r="O12" i="1" s="1"/>
  <c r="K14" i="1"/>
  <c r="O14" i="1" s="1"/>
  <c r="K15" i="1"/>
  <c r="O15" i="1" s="1"/>
  <c r="K17" i="1"/>
  <c r="K18" i="1"/>
  <c r="O18" i="1" s="1"/>
  <c r="K20" i="1"/>
  <c r="O20" i="1" s="1"/>
  <c r="K25" i="1"/>
  <c r="O25" i="1" s="1"/>
  <c r="K26" i="1"/>
  <c r="O26" i="1" s="1"/>
  <c r="K29" i="1"/>
  <c r="O29" i="1" s="1"/>
  <c r="K30" i="1"/>
  <c r="K32" i="1"/>
  <c r="O32" i="1" s="1"/>
  <c r="K33" i="1"/>
  <c r="O33" i="1" s="1"/>
  <c r="K35" i="1"/>
  <c r="O35" i="1" s="1"/>
  <c r="K36" i="1"/>
  <c r="O36" i="1" s="1"/>
  <c r="K37" i="1"/>
  <c r="O37" i="1" s="1"/>
  <c r="K38" i="1"/>
  <c r="O38" i="1" s="1"/>
  <c r="K40" i="1"/>
  <c r="O40" i="1" s="1"/>
  <c r="K39" i="1"/>
  <c r="O39" i="1" s="1"/>
  <c r="K42" i="1"/>
  <c r="K43" i="1"/>
  <c r="K45" i="1"/>
  <c r="O45" i="1" s="1"/>
  <c r="K6" i="1"/>
  <c r="O6" i="1" s="1"/>
  <c r="N43" i="1" l="1"/>
  <c r="N17" i="1"/>
  <c r="O17" i="1"/>
  <c r="J20" i="7"/>
  <c r="K20" i="7" s="1"/>
  <c r="N31" i="1"/>
  <c r="J39" i="7"/>
  <c r="K39" i="7" s="1"/>
  <c r="N22" i="1"/>
  <c r="J35" i="7"/>
  <c r="K35" i="7" s="1"/>
  <c r="N48" i="1"/>
  <c r="J31" i="7"/>
  <c r="K31" i="7" s="1"/>
  <c r="N21" i="1"/>
  <c r="J23" i="7"/>
  <c r="K23" i="7" s="1"/>
  <c r="N41" i="1"/>
  <c r="J19" i="7"/>
  <c r="K19" i="7" s="1"/>
  <c r="N16" i="1"/>
  <c r="J11" i="7"/>
  <c r="K11" i="7" s="1"/>
  <c r="N28" i="1"/>
  <c r="K8" i="7"/>
  <c r="N39" i="1"/>
  <c r="J36" i="7"/>
  <c r="K36" i="7" s="1"/>
  <c r="N14" i="1"/>
  <c r="J25" i="7"/>
  <c r="K25" i="7" s="1"/>
  <c r="N29" i="1"/>
  <c r="J6" i="7"/>
  <c r="K6" i="7" s="1"/>
  <c r="N13" i="1"/>
  <c r="J47" i="7"/>
  <c r="K47" i="7" s="1"/>
  <c r="N10" i="1"/>
  <c r="J42" i="7"/>
  <c r="K42" i="7" s="1"/>
  <c r="N34" i="1"/>
  <c r="J34" i="7"/>
  <c r="K34" i="7" s="1"/>
  <c r="N44" i="1"/>
  <c r="J30" i="7"/>
  <c r="K30" i="7" s="1"/>
  <c r="J26" i="7"/>
  <c r="K26" i="7" s="1"/>
  <c r="N5" i="1"/>
  <c r="N7" i="1"/>
  <c r="J22" i="7"/>
  <c r="K22" i="7" s="1"/>
  <c r="N27" i="1"/>
  <c r="J14" i="7"/>
  <c r="K14" i="7" s="1"/>
  <c r="N23" i="1"/>
  <c r="J7" i="7"/>
  <c r="K7" i="7" s="1"/>
  <c r="N20" i="1"/>
  <c r="J48" i="7"/>
  <c r="K48" i="7" s="1"/>
  <c r="N45" i="1"/>
  <c r="J37" i="7"/>
  <c r="K37" i="7" s="1"/>
  <c r="N40" i="1"/>
  <c r="J12" i="7"/>
  <c r="K12" i="7" s="1"/>
  <c r="N12" i="1"/>
  <c r="J24" i="7"/>
  <c r="K24" i="7" s="1"/>
  <c r="N38" i="1"/>
  <c r="J41" i="7"/>
  <c r="K41" i="7" s="1"/>
  <c r="N33" i="1"/>
  <c r="J46" i="7"/>
  <c r="K46" i="7" s="1"/>
  <c r="N26" i="1"/>
  <c r="J18" i="7"/>
  <c r="K18" i="7" s="1"/>
  <c r="J29" i="7"/>
  <c r="K29" i="7" s="1"/>
  <c r="N11" i="1"/>
  <c r="J17" i="7"/>
  <c r="K17" i="7" s="1"/>
  <c r="N6" i="1"/>
  <c r="N30" i="1"/>
  <c r="J44" i="7"/>
  <c r="K44" i="7" s="1"/>
  <c r="N19" i="1"/>
  <c r="J43" i="7"/>
  <c r="K43" i="7" s="1"/>
  <c r="N35" i="1"/>
  <c r="J10" i="7"/>
  <c r="K10" i="7" s="1"/>
  <c r="N18" i="1"/>
  <c r="J32" i="7"/>
  <c r="K32" i="7" s="1"/>
  <c r="J45" i="7"/>
  <c r="K45" i="7" s="1"/>
  <c r="N37" i="1"/>
  <c r="J38" i="7"/>
  <c r="K38" i="7" s="1"/>
  <c r="N32" i="1"/>
  <c r="J9" i="7"/>
  <c r="K9" i="7" s="1"/>
  <c r="N25" i="1"/>
  <c r="J13" i="7"/>
  <c r="K13" i="7" s="1"/>
  <c r="N15" i="1"/>
  <c r="J33" i="7"/>
  <c r="K33" i="7" s="1"/>
  <c r="N8" i="1"/>
  <c r="J28" i="7"/>
  <c r="K28" i="7" s="1"/>
  <c r="N36" i="1"/>
  <c r="J5" i="7"/>
  <c r="K5" i="7" s="1"/>
  <c r="D39" i="1"/>
  <c r="S36" i="1" l="1"/>
  <c r="D26" i="1" l="1"/>
  <c r="D29" i="1"/>
  <c r="D28" i="1"/>
  <c r="D31" i="1"/>
  <c r="D30" i="1"/>
  <c r="D32" i="1"/>
  <c r="D33" i="1"/>
  <c r="D35" i="1"/>
  <c r="D34" i="1"/>
  <c r="D37" i="1"/>
  <c r="D38" i="1"/>
  <c r="D40" i="1"/>
  <c r="D41" i="1"/>
  <c r="D42" i="1"/>
  <c r="D43" i="1"/>
  <c r="D44" i="1"/>
  <c r="D45" i="1"/>
  <c r="D27" i="1"/>
  <c r="D23" i="1" l="1"/>
  <c r="D16" i="1"/>
  <c r="D25" i="1"/>
  <c r="D9" i="1"/>
  <c r="D24" i="1"/>
  <c r="D11" i="1"/>
  <c r="D7" i="1"/>
  <c r="D21" i="1"/>
  <c r="D12" i="1"/>
  <c r="D14" i="1"/>
  <c r="D5" i="1"/>
  <c r="D46" i="1"/>
  <c r="D8" i="1"/>
  <c r="D17" i="1"/>
  <c r="D15" i="1"/>
  <c r="D18" i="1"/>
  <c r="D22" i="1"/>
  <c r="D47" i="1"/>
  <c r="D10" i="1"/>
  <c r="D19" i="1"/>
  <c r="D13" i="1"/>
  <c r="D20" i="1"/>
  <c r="D6" i="1"/>
  <c r="I42" i="1"/>
  <c r="O42" i="1" s="1"/>
  <c r="N42" i="1" l="1"/>
  <c r="J21" i="7"/>
  <c r="K21" i="7" s="1"/>
  <c r="D53" i="5"/>
  <c r="I51" i="1" l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H54" i="1"/>
  <c r="H53" i="1"/>
  <c r="H52" i="1"/>
  <c r="H51" i="1"/>
  <c r="N52" i="1" l="1"/>
  <c r="N51" i="1"/>
  <c r="N53" i="1"/>
  <c r="N54" i="1"/>
  <c r="S37" i="1"/>
  <c r="S6" i="1" l="1"/>
  <c r="O53" i="1" l="1"/>
  <c r="O52" i="1"/>
  <c r="O54" i="1"/>
  <c r="O51" i="1"/>
  <c r="C7" i="3" l="1"/>
  <c r="S22" i="1"/>
  <c r="S32" i="1"/>
  <c r="S48" i="1"/>
  <c r="S47" i="1"/>
  <c r="S21" i="1"/>
  <c r="S29" i="1"/>
  <c r="S23" i="1"/>
  <c r="S13" i="1"/>
  <c r="S35" i="1"/>
  <c r="S16" i="1"/>
  <c r="S40" i="1"/>
  <c r="S25" i="1"/>
  <c r="S24" i="1"/>
  <c r="S11" i="1"/>
  <c r="S41" i="1"/>
  <c r="S27" i="1"/>
  <c r="S42" i="1"/>
  <c r="S7" i="1"/>
  <c r="S12" i="1"/>
  <c r="S14" i="1"/>
  <c r="S5" i="1"/>
  <c r="S46" i="1"/>
  <c r="S8" i="1"/>
  <c r="S17" i="1"/>
  <c r="S44" i="1"/>
  <c r="S18" i="1"/>
  <c r="S15" i="1"/>
  <c r="S34" i="1"/>
  <c r="S39" i="1"/>
  <c r="S45" i="1"/>
  <c r="S31" i="1"/>
  <c r="S38" i="1"/>
  <c r="S10" i="1"/>
  <c r="S19" i="1"/>
  <c r="S9" i="1"/>
  <c r="S30" i="1"/>
  <c r="S43" i="1"/>
  <c r="S33" i="1"/>
  <c r="S26" i="1"/>
  <c r="S20" i="1"/>
  <c r="S28" i="1"/>
  <c r="F6" i="1" l="1"/>
  <c r="G46" i="1" l="1"/>
  <c r="G47" i="1"/>
  <c r="F22" i="1"/>
  <c r="G22" i="1" s="1"/>
  <c r="F20" i="1"/>
  <c r="G20" i="1" s="1"/>
  <c r="F48" i="1"/>
  <c r="G48" i="1" s="1"/>
  <c r="F13" i="1"/>
  <c r="G13" i="1" s="1"/>
  <c r="F44" i="1"/>
  <c r="G44" i="1" s="1"/>
  <c r="F23" i="1"/>
  <c r="G23" i="1" s="1"/>
  <c r="F33" i="1"/>
  <c r="G33" i="1" s="1"/>
  <c r="F35" i="1"/>
  <c r="G35" i="1" s="1"/>
  <c r="F24" i="1"/>
  <c r="G24" i="1" s="1"/>
  <c r="F32" i="1"/>
  <c r="G32" i="1" s="1"/>
  <c r="G6" i="1"/>
  <c r="F43" i="1"/>
  <c r="G43" i="1" s="1"/>
  <c r="F40" i="1"/>
  <c r="G40" i="1" s="1"/>
  <c r="F11" i="1"/>
  <c r="G11" i="1" s="1"/>
  <c r="F17" i="1"/>
  <c r="G17" i="1" s="1"/>
  <c r="F10" i="1"/>
  <c r="G10" i="1" s="1"/>
  <c r="F14" i="1"/>
  <c r="G14" i="1" s="1"/>
  <c r="F5" i="1"/>
  <c r="G5" i="1" s="1"/>
  <c r="F8" i="1"/>
  <c r="G8" i="1" s="1"/>
  <c r="F42" i="1"/>
  <c r="G42" i="1" s="1"/>
  <c r="F41" i="1"/>
  <c r="G41" i="1" s="1"/>
  <c r="F16" i="1"/>
  <c r="G16" i="1" s="1"/>
  <c r="F37" i="1"/>
  <c r="G37" i="1" s="1"/>
  <c r="F34" i="1"/>
  <c r="G34" i="1" s="1"/>
  <c r="F45" i="1"/>
  <c r="G45" i="1" s="1"/>
  <c r="F7" i="1"/>
  <c r="G7" i="1" s="1"/>
  <c r="F27" i="1"/>
  <c r="G27" i="1" s="1"/>
  <c r="F12" i="1"/>
  <c r="G12" i="1" s="1"/>
  <c r="F26" i="1"/>
  <c r="G26" i="1" s="1"/>
  <c r="F28" i="1"/>
  <c r="G28" i="1" s="1"/>
  <c r="F29" i="1"/>
  <c r="G29" i="1" s="1"/>
  <c r="F21" i="1"/>
  <c r="G21" i="1" s="1"/>
  <c r="F38" i="1"/>
  <c r="G38" i="1" s="1"/>
  <c r="F36" i="1"/>
  <c r="G36" i="1" s="1"/>
  <c r="F18" i="1"/>
  <c r="G18" i="1" s="1"/>
  <c r="F25" i="1"/>
  <c r="G25" i="1" s="1"/>
  <c r="F39" i="1"/>
  <c r="G39" i="1" s="1"/>
  <c r="F9" i="1"/>
  <c r="G9" i="1" s="1"/>
  <c r="F15" i="1"/>
  <c r="G15" i="1" s="1"/>
  <c r="F19" i="1"/>
  <c r="G19" i="1" s="1"/>
  <c r="F30" i="1"/>
  <c r="G30" i="1" s="1"/>
  <c r="F31" i="1"/>
  <c r="G31" i="1" s="1"/>
</calcChain>
</file>

<file path=xl/comments1.xml><?xml version="1.0" encoding="utf-8"?>
<comments xmlns="http://schemas.openxmlformats.org/spreadsheetml/2006/main">
  <authors>
    <author>Pamela Nelson</author>
  </authors>
  <commentList>
    <comment ref="J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MUST BE MINIMUM 50% TO PASS COURSE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Will be absent the week of presentations. Will submit video instead.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Singh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Received email 10:00 am (approx) advising of absence (to-date) due to medical concerns. 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Invited to come see me via email FEB 13 - catch up with missed days/exams?</t>
        </r>
      </text>
    </comment>
  </commentList>
</comments>
</file>

<file path=xl/comments2.xml><?xml version="1.0" encoding="utf-8"?>
<comments xmlns="http://schemas.openxmlformats.org/spreadsheetml/2006/main">
  <authors>
    <author>Pamela Nelson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Average of top 4 of 5 exam marks (#1-#6), PLUS Pricing Exam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10% for attendance at both; -5% for each day absent.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FROM MOODLE
</t>
        </r>
      </text>
    </comment>
    <comment ref="AC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Guest Speaker: Jason Richards</t>
        </r>
      </text>
    </comment>
    <comment ref="AJ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Hana Abaza - Shopify presentation</t>
        </r>
      </text>
    </comment>
    <comment ref="AJ5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absent
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absent with note (ill)</t>
        </r>
      </text>
    </comment>
    <comment ref="AA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absent with note (ill)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AC10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absent with note (ill)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Doctor's note received on Tuesday, includes Thursday (March 14) class.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Attended one day only (Thursday); did not present. Handed in Presentation Thursday after class; advised 'forgot' to hand in, but creation date is Wed. PM. Presentation not accepted.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Attended one day only (Thursday); did not present. Handed in Presentation Thursday after class; advised 'forgot' to hand in, but creation date is Wed. PM. Presentation not accepted.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Singh</t>
        </r>
      </text>
    </comment>
    <comment ref="R1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Workshare 75 (Mike); 25 (Manjot)</t>
        </r>
      </text>
    </comment>
    <comment ref="AI1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walked out of class ~5 mins early while students still presenting. 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Workshare 60 (Sasha); 40 (Zoey)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 xml:space="preserve">Pamela Nelson:
</t>
        </r>
        <r>
          <rPr>
            <sz val="9"/>
            <color indexed="81"/>
            <rFont val="Tahoma"/>
            <family val="2"/>
          </rPr>
          <t xml:space="preserve">Wrote out of time: march 28
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Workshare 60 (Sasha); 40 (Zoey)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did not attend or present</t>
        </r>
      </text>
    </comment>
    <comment ref="AF21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wants to meet Prof - 01-31; advised to send email to set up appt.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Doctor's note received.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Will be absent the week of presentations. Will submit video instead.
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Advised at start of term unable to attend; gave option to do video presentation; did not receive anything from Emily before presentation date.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wrote out-of-time due to necessary/excused absence
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Expressed concerns with understanding team partners; language barrier is significant.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walked out of class ~5 mins early while students still presenting. </t>
        </r>
      </text>
    </comment>
    <comment ref="AD32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ABSENT WITH NOTE
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M3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AI3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walked out of class ~5 mins early while students still presenting. </t>
        </r>
      </text>
    </comment>
    <comment ref="AA43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absent with note (ill)</t>
        </r>
      </text>
    </comment>
    <comment ref="AI43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walked out of class ~5 mins early while students still presenting. </t>
        </r>
      </text>
    </comment>
    <comment ref="T4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Did not attend either day; did not present (did not advise partner would not be in attendance)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M46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Received email 10:00 am (approx) advising of absence (to-date) due to medical concerns. 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Invited to come see me via email FEB 13 - catch up with missed days/exams?</t>
        </r>
      </text>
    </comment>
  </commentList>
</comments>
</file>

<file path=xl/comments3.xml><?xml version="1.0" encoding="utf-8"?>
<comments xmlns="http://schemas.openxmlformats.org/spreadsheetml/2006/main">
  <authors>
    <author>Pamela Nelson</author>
  </authors>
  <commentList>
    <comment ref="D2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Male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friends with Neakpreet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Female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Received email 10:00 am (approx) advising of absence (to-date) due to medical concerns. 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requested to come meet me with Sukh 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Wants to group with Jaspreet. </t>
        </r>
      </text>
    </comment>
  </commentList>
</comments>
</file>

<file path=xl/comments4.xml><?xml version="1.0" encoding="utf-8"?>
<comments xmlns="http://schemas.openxmlformats.org/spreadsheetml/2006/main">
  <authors>
    <author>Pamela Nelson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scaled to be out of 32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Will be absent Feb 13-15 due to Coyotes Ball Tournament in USA.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no show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Singh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Pamela Nelson:</t>
        </r>
        <r>
          <rPr>
            <sz val="9"/>
            <color indexed="81"/>
            <rFont val="Tahoma"/>
            <family val="2"/>
          </rPr>
          <t xml:space="preserve">
Received email 10:00 am (approx) advising of absence (to-date) due to medical concerns. </t>
        </r>
      </text>
    </comment>
  </commentList>
</comments>
</file>

<file path=xl/sharedStrings.xml><?xml version="1.0" encoding="utf-8"?>
<sst xmlns="http://schemas.openxmlformats.org/spreadsheetml/2006/main" count="696" uniqueCount="219">
  <si>
    <t>Last</t>
  </si>
  <si>
    <t>First</t>
  </si>
  <si>
    <t>ID</t>
  </si>
  <si>
    <t>Final</t>
  </si>
  <si>
    <t>So Far</t>
  </si>
  <si>
    <t>Pt 1</t>
  </si>
  <si>
    <t>Pt 2</t>
  </si>
  <si>
    <t>Pt 3</t>
  </si>
  <si>
    <t>Project</t>
  </si>
  <si>
    <t>Avg.</t>
  </si>
  <si>
    <t>Code</t>
  </si>
  <si>
    <t>I</t>
  </si>
  <si>
    <t>D</t>
  </si>
  <si>
    <t>Top 5 Avg</t>
  </si>
  <si>
    <t>#1</t>
  </si>
  <si>
    <t>#2</t>
  </si>
  <si>
    <t>#3</t>
  </si>
  <si>
    <t>#4</t>
  </si>
  <si>
    <t>#6</t>
  </si>
  <si>
    <t>EXAMS</t>
  </si>
  <si>
    <t>Last Name</t>
  </si>
  <si>
    <t>First Name</t>
  </si>
  <si>
    <t>Pres</t>
  </si>
  <si>
    <t>Classwork &amp; Participation</t>
  </si>
  <si>
    <t>Total</t>
  </si>
  <si>
    <t>BUAD 116-008</t>
  </si>
  <si>
    <t>Winter 2019</t>
  </si>
  <si>
    <t>Student ID</t>
  </si>
  <si>
    <t>300294716</t>
  </si>
  <si>
    <t>Nayyar</t>
  </si>
  <si>
    <t xml:space="preserve"> Akshit</t>
  </si>
  <si>
    <t>300295375</t>
  </si>
  <si>
    <t>Garg</t>
  </si>
  <si>
    <t xml:space="preserve"> Ashmeet</t>
  </si>
  <si>
    <t>300287942</t>
  </si>
  <si>
    <t>Smith</t>
  </si>
  <si>
    <t xml:space="preserve"> Braydon</t>
  </si>
  <si>
    <t>300297395</t>
  </si>
  <si>
    <t>Flodin</t>
  </si>
  <si>
    <t xml:space="preserve"> Brennen</t>
  </si>
  <si>
    <t>300294964</t>
  </si>
  <si>
    <t>Kont</t>
  </si>
  <si>
    <t xml:space="preserve"> Carolyn</t>
  </si>
  <si>
    <t>300292850</t>
  </si>
  <si>
    <t>Wood</t>
  </si>
  <si>
    <t xml:space="preserve"> Danielle</t>
  </si>
  <si>
    <t>300288449</t>
  </si>
  <si>
    <t>Gill</t>
  </si>
  <si>
    <t xml:space="preserve"> Dilshan</t>
  </si>
  <si>
    <t>300289877</t>
  </si>
  <si>
    <t>Elsom</t>
  </si>
  <si>
    <t xml:space="preserve"> Emily</t>
  </si>
  <si>
    <t>300248273</t>
  </si>
  <si>
    <t>Rai</t>
  </si>
  <si>
    <t xml:space="preserve"> Gaganraj</t>
  </si>
  <si>
    <t>300271856</t>
  </si>
  <si>
    <t>Raoufi</t>
  </si>
  <si>
    <t xml:space="preserve"> Ghazal</t>
  </si>
  <si>
    <t>300287801</t>
  </si>
  <si>
    <t>Khangura</t>
  </si>
  <si>
    <t xml:space="preserve"> Harshbir</t>
  </si>
  <si>
    <t>300298969</t>
  </si>
  <si>
    <t>Choy</t>
  </si>
  <si>
    <t>300294784</t>
  </si>
  <si>
    <t>Vong</t>
  </si>
  <si>
    <t>300294179</t>
  </si>
  <si>
    <t>Cyre</t>
  </si>
  <si>
    <t>300286569</t>
  </si>
  <si>
    <t>.</t>
  </si>
  <si>
    <t xml:space="preserve"> Jaspinder</t>
  </si>
  <si>
    <t>300299955</t>
  </si>
  <si>
    <t>Kaur</t>
  </si>
  <si>
    <t xml:space="preserve"> Jaspreet</t>
  </si>
  <si>
    <t>300251469</t>
  </si>
  <si>
    <t>Labossiere</t>
  </si>
  <si>
    <t xml:space="preserve"> Jenna</t>
  </si>
  <si>
    <t>300223354</t>
  </si>
  <si>
    <t>Prah</t>
  </si>
  <si>
    <t xml:space="preserve"> Jordan</t>
  </si>
  <si>
    <t>300288634</t>
  </si>
  <si>
    <t>Dhillon</t>
  </si>
  <si>
    <t xml:space="preserve"> Justin</t>
  </si>
  <si>
    <t>300293974</t>
  </si>
  <si>
    <t>Bajaj</t>
  </si>
  <si>
    <t xml:space="preserve"> Kamia</t>
  </si>
  <si>
    <t>300290846</t>
  </si>
  <si>
    <t>Dyke</t>
  </si>
  <si>
    <t xml:space="preserve"> Kason</t>
  </si>
  <si>
    <t>300263177</t>
  </si>
  <si>
    <t>Gibbings</t>
  </si>
  <si>
    <t xml:space="preserve"> Lachlan</t>
  </si>
  <si>
    <t>300247151</t>
  </si>
  <si>
    <t>Rine</t>
  </si>
  <si>
    <t xml:space="preserve"> Maddison</t>
  </si>
  <si>
    <t>300290307</t>
  </si>
  <si>
    <t xml:space="preserve"> Manjot</t>
  </si>
  <si>
    <t>300293400</t>
  </si>
  <si>
    <t>Alcorn</t>
  </si>
  <si>
    <t xml:space="preserve"> Mathew</t>
  </si>
  <si>
    <t>300293434</t>
  </si>
  <si>
    <t>Kuehn</t>
  </si>
  <si>
    <t xml:space="preserve"> Matthew</t>
  </si>
  <si>
    <t>300296779</t>
  </si>
  <si>
    <t>Duwyn</t>
  </si>
  <si>
    <t xml:space="preserve"> Michael</t>
  </si>
  <si>
    <t>300288364</t>
  </si>
  <si>
    <t>McCready</t>
  </si>
  <si>
    <t>300296198</t>
  </si>
  <si>
    <t>King</t>
  </si>
  <si>
    <t xml:space="preserve"> Michelle</t>
  </si>
  <si>
    <t>300290454</t>
  </si>
  <si>
    <t>Stapley</t>
  </si>
  <si>
    <t xml:space="preserve"> Mitchell</t>
  </si>
  <si>
    <t>300284644</t>
  </si>
  <si>
    <t xml:space="preserve"> Neakpreet</t>
  </si>
  <si>
    <t>300288327</t>
  </si>
  <si>
    <t>Balkan</t>
  </si>
  <si>
    <t xml:space="preserve"> Nicholas</t>
  </si>
  <si>
    <t>300286524</t>
  </si>
  <si>
    <t>Singh</t>
  </si>
  <si>
    <t xml:space="preserve"> Ranjeet</t>
  </si>
  <si>
    <t>300288206</t>
  </si>
  <si>
    <t>Pickering</t>
  </si>
  <si>
    <t xml:space="preserve"> Reid</t>
  </si>
  <si>
    <t>300292973</t>
  </si>
  <si>
    <t>Riley</t>
  </si>
  <si>
    <t xml:space="preserve"> Rohnan</t>
  </si>
  <si>
    <t>300279145</t>
  </si>
  <si>
    <t>Matte</t>
  </si>
  <si>
    <t xml:space="preserve"> Sarah</t>
  </si>
  <si>
    <t>300263928</t>
  </si>
  <si>
    <t>Burton</t>
  </si>
  <si>
    <t xml:space="preserve"> Sasha</t>
  </si>
  <si>
    <t>300271067</t>
  </si>
  <si>
    <t>Wang</t>
  </si>
  <si>
    <t>300278595</t>
  </si>
  <si>
    <t>Brar</t>
  </si>
  <si>
    <t xml:space="preserve"> Sukhdeep</t>
  </si>
  <si>
    <t>300297987</t>
  </si>
  <si>
    <t>300283518</t>
  </si>
  <si>
    <t>Le</t>
  </si>
  <si>
    <t>300285180</t>
  </si>
  <si>
    <t>Marsh</t>
  </si>
  <si>
    <t xml:space="preserve"> Tylor</t>
  </si>
  <si>
    <t>300288954</t>
  </si>
  <si>
    <t>Ratte</t>
  </si>
  <si>
    <t xml:space="preserve"> Vishal</t>
  </si>
  <si>
    <t>300245773</t>
  </si>
  <si>
    <t>Chambers</t>
  </si>
  <si>
    <t xml:space="preserve"> Zoey</t>
  </si>
  <si>
    <t xml:space="preserve"> Eric (Hoi Ho)</t>
  </si>
  <si>
    <t xml:space="preserve"> Cole (Jacob-Cole)</t>
  </si>
  <si>
    <t>Badhan</t>
  </si>
  <si>
    <t xml:space="preserve"> Fass (Shengwei)</t>
  </si>
  <si>
    <t xml:space="preserve"> Ha Le (Thi Viet)</t>
  </si>
  <si>
    <t xml:space="preserve"> Priya</t>
  </si>
  <si>
    <t>#5-PRICE</t>
  </si>
  <si>
    <t xml:space="preserve"> Anthony (Hok Hin)</t>
  </si>
  <si>
    <t>GROUP</t>
  </si>
  <si>
    <t>A</t>
  </si>
  <si>
    <t>B</t>
  </si>
  <si>
    <t>K</t>
  </si>
  <si>
    <t>M</t>
  </si>
  <si>
    <t>R</t>
  </si>
  <si>
    <t>C</t>
  </si>
  <si>
    <t>W</t>
  </si>
  <si>
    <t>G</t>
  </si>
  <si>
    <t>E</t>
  </si>
  <si>
    <t>L</t>
  </si>
  <si>
    <t>P</t>
  </si>
  <si>
    <t>F</t>
  </si>
  <si>
    <t>H</t>
  </si>
  <si>
    <t>T</t>
  </si>
  <si>
    <t>N</t>
  </si>
  <si>
    <t>O</t>
  </si>
  <si>
    <t>S</t>
  </si>
  <si>
    <t>Q</t>
  </si>
  <si>
    <t>U</t>
  </si>
  <si>
    <t>MIN</t>
  </si>
  <si>
    <t>MAX</t>
  </si>
  <si>
    <t>AVG</t>
  </si>
  <si>
    <t>MEDIAN</t>
  </si>
  <si>
    <t>first</t>
  </si>
  <si>
    <t>group</t>
  </si>
  <si>
    <t>Note</t>
  </si>
  <si>
    <t>Coyote Team player; absent in Feb (14-160due to tournament</t>
  </si>
  <si>
    <t>student id</t>
  </si>
  <si>
    <t>last</t>
  </si>
  <si>
    <t>Exam 2</t>
  </si>
  <si>
    <t>Exam 1</t>
  </si>
  <si>
    <t>Exam 3</t>
  </si>
  <si>
    <t>Exam 4</t>
  </si>
  <si>
    <t>Exam 5</t>
  </si>
  <si>
    <t>Exam 6</t>
  </si>
  <si>
    <t>exam 4 %</t>
  </si>
  <si>
    <t>Meet / BONUS</t>
  </si>
  <si>
    <t>Y</t>
  </si>
  <si>
    <t>Term Work
QUIZZES (10%)</t>
  </si>
  <si>
    <t>Term Work
CLASS (10%)</t>
  </si>
  <si>
    <t>Exam Total (50%)</t>
  </si>
  <si>
    <t>Avg/Top 10 QZ</t>
  </si>
  <si>
    <t>QUIZ</t>
  </si>
  <si>
    <t>FINAL GRADE</t>
  </si>
  <si>
    <t>EXAM grade</t>
  </si>
  <si>
    <t>total %</t>
  </si>
  <si>
    <t>Term Project 1 (7%)</t>
  </si>
  <si>
    <t>Term Project 2 (7%)</t>
  </si>
  <si>
    <t>Term Project 3 (7%)</t>
  </si>
  <si>
    <t>Term Project Presentations (9%)</t>
  </si>
  <si>
    <t>Pricing as separate =AVERAGE(SUMPRODUCT((LARGE(H5:L5,{1,2,3,4}))/5),M5)
Pricing as 1 of 6 =SUMPRODUCT(LARGE(H16:M16,{1,2,3,4,5}))/5</t>
  </si>
  <si>
    <t>indicates would pass if Exam average was based on all exams, rather than segregating the Pricing (Exam #5)</t>
  </si>
  <si>
    <t>HAVE NOT YET EXAMINED FOR WRITING QUIZZES</t>
  </si>
  <si>
    <t>Term Work-Quizzes</t>
  </si>
  <si>
    <t>Term Work-Class Part</t>
  </si>
  <si>
    <t>Term Project - Pt 1</t>
  </si>
  <si>
    <t>Term Project - Pt 2</t>
  </si>
  <si>
    <t>Term Project - Pt 3</t>
  </si>
  <si>
    <t>Term Project - Present</t>
  </si>
  <si>
    <t>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</si>
</sst>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8"/>
      <color indexed="10"/>
      <name val="Tahoma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rgb="FF000000"/>
      <name val="Verdana"/>
      <family val="2"/>
    </font>
    <font>
      <sz val="10"/>
      <color rgb="FFFF0000"/>
      <name val="Arial"/>
      <family val="2"/>
    </font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rgb="FFFF0000"/>
      <name val="Tahoma"/>
      <family val="2"/>
    </font>
    <font>
      <strike/>
      <sz val="10"/>
      <color theme="1"/>
      <name val="Cambria"/>
      <family val="1"/>
    </font>
    <font>
      <b/>
      <sz val="10"/>
      <color theme="7" tint="-0.249977111117893"/>
      <name val="Arial"/>
      <family val="2"/>
    </font>
    <font>
      <b/>
      <strike/>
      <sz val="10"/>
      <color theme="7" tint="-0.249977111117893"/>
      <name val="Cambria"/>
      <family val="1"/>
    </font>
    <font>
      <sz val="11"/>
      <color theme="1"/>
      <name val="Tahoma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pivotButton="1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9" fontId="0" fillId="0" borderId="0" xfId="1" applyFont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Alignment="1">
      <alignment horizontal="center" vertical="center" wrapText="1"/>
    </xf>
    <xf numFmtId="0" fontId="0" fillId="3" borderId="0" xfId="0" applyFill="1" applyProtection="1">
      <protection locked="0"/>
    </xf>
    <xf numFmtId="165" fontId="0" fillId="3" borderId="0" xfId="0" quotePrefix="1" applyNumberFormat="1" applyFill="1"/>
    <xf numFmtId="0" fontId="6" fillId="0" borderId="0" xfId="0" applyFont="1" applyAlignment="1">
      <alignment horizontal="center" vertical="top"/>
    </xf>
    <xf numFmtId="0" fontId="0" fillId="2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65" fontId="0" fillId="7" borderId="0" xfId="0" quotePrefix="1" applyNumberFormat="1" applyFill="1"/>
    <xf numFmtId="164" fontId="0" fillId="0" borderId="0" xfId="1" applyNumberFormat="1" applyFont="1" applyAlignment="1">
      <alignment horizontal="center"/>
    </xf>
    <xf numFmtId="0" fontId="8" fillId="8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2" fillId="6" borderId="0" xfId="0" applyFont="1" applyFill="1" applyAlignment="1">
      <alignment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0" fillId="9" borderId="0" xfId="0" applyFill="1"/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left" vertical="top"/>
    </xf>
    <xf numFmtId="0" fontId="0" fillId="5" borderId="0" xfId="0" applyFill="1" applyAlignment="1">
      <alignment horizontal="right"/>
    </xf>
    <xf numFmtId="0" fontId="2" fillId="10" borderId="0" xfId="0" applyFont="1" applyFill="1" applyAlignment="1">
      <alignment horizontal="center" vertical="center" wrapText="1"/>
    </xf>
    <xf numFmtId="0" fontId="0" fillId="10" borderId="0" xfId="0" applyFill="1"/>
    <xf numFmtId="0" fontId="8" fillId="5" borderId="0" xfId="0" applyFont="1" applyFill="1" applyAlignment="1">
      <alignment vertical="center" wrapText="1"/>
    </xf>
    <xf numFmtId="1" fontId="0" fillId="5" borderId="0" xfId="0" applyNumberFormat="1" applyFill="1"/>
    <xf numFmtId="0" fontId="2" fillId="5" borderId="0" xfId="0" applyFont="1" applyFill="1" applyAlignment="1">
      <alignment horizontal="right"/>
    </xf>
    <xf numFmtId="0" fontId="10" fillId="0" borderId="0" xfId="0" applyFont="1" applyFill="1" applyAlignment="1">
      <alignment horizontal="center" vertical="top"/>
    </xf>
    <xf numFmtId="0" fontId="0" fillId="11" borderId="0" xfId="0" applyFill="1"/>
    <xf numFmtId="0" fontId="6" fillId="0" borderId="0" xfId="0" applyFont="1" applyFill="1" applyAlignment="1">
      <alignment horizontal="center" vertical="top"/>
    </xf>
    <xf numFmtId="164" fontId="0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9" fontId="2" fillId="0" borderId="0" xfId="1" applyFont="1" applyAlignment="1">
      <alignment horizontal="center"/>
    </xf>
    <xf numFmtId="1" fontId="0" fillId="2" borderId="0" xfId="0" applyNumberFormat="1" applyFill="1"/>
    <xf numFmtId="0" fontId="2" fillId="12" borderId="0" xfId="0" applyFont="1" applyFill="1" applyAlignment="1">
      <alignment horizontal="center" vertical="center" wrapText="1"/>
    </xf>
    <xf numFmtId="0" fontId="0" fillId="0" borderId="0" xfId="0" applyFont="1"/>
    <xf numFmtId="0" fontId="15" fillId="0" borderId="0" xfId="0" applyFont="1" applyFill="1" applyAlignment="1">
      <alignment horizontal="center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top"/>
    </xf>
    <xf numFmtId="49" fontId="0" fillId="0" borderId="0" xfId="0" applyNumberFormat="1" applyFont="1" applyFill="1" applyAlignment="1">
      <alignment vertical="top"/>
    </xf>
    <xf numFmtId="0" fontId="0" fillId="12" borderId="0" xfId="0" applyFill="1"/>
    <xf numFmtId="0" fontId="16" fillId="0" borderId="0" xfId="0" applyFont="1" applyFill="1" applyAlignment="1">
      <alignment vertical="top"/>
    </xf>
    <xf numFmtId="49" fontId="0" fillId="0" borderId="0" xfId="0" applyNumberFormat="1"/>
    <xf numFmtId="49" fontId="0" fillId="0" borderId="0" xfId="0" applyNumberFormat="1" applyFont="1" applyFill="1" applyAlignment="1">
      <alignment horizontal="left" vertical="top"/>
    </xf>
    <xf numFmtId="49" fontId="2" fillId="0" borderId="0" xfId="0" applyNumberFormat="1" applyFont="1" applyAlignment="1">
      <alignment horizontal="center" vertical="center" wrapText="1"/>
    </xf>
    <xf numFmtId="49" fontId="9" fillId="0" borderId="0" xfId="0" applyNumberFormat="1" applyFont="1" applyFill="1" applyAlignment="1">
      <alignment vertical="top"/>
    </xf>
    <xf numFmtId="49" fontId="0" fillId="5" borderId="0" xfId="0" applyNumberFormat="1" applyFill="1"/>
    <xf numFmtId="0" fontId="0" fillId="9" borderId="0" xfId="0" applyFill="1" applyAlignment="1">
      <alignment horizontal="center"/>
    </xf>
    <xf numFmtId="0" fontId="17" fillId="0" borderId="0" xfId="0" applyFont="1" applyFill="1" applyAlignment="1">
      <alignment vertical="top"/>
    </xf>
    <xf numFmtId="0" fontId="17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9" fontId="17" fillId="0" borderId="0" xfId="1" applyFont="1"/>
    <xf numFmtId="0" fontId="17" fillId="12" borderId="0" xfId="0" applyFont="1" applyFill="1"/>
    <xf numFmtId="1" fontId="19" fillId="0" borderId="0" xfId="0" applyNumberFormat="1" applyFont="1" applyFill="1" applyAlignment="1">
      <alignment horizontal="center"/>
    </xf>
    <xf numFmtId="0" fontId="0" fillId="5" borderId="0" xfId="0" applyFill="1" applyProtection="1">
      <protection locked="0"/>
    </xf>
    <xf numFmtId="0" fontId="0" fillId="12" borderId="0" xfId="0" applyFill="1" applyProtection="1">
      <protection locked="0"/>
    </xf>
    <xf numFmtId="0" fontId="9" fillId="4" borderId="0" xfId="0" applyFont="1" applyFill="1"/>
    <xf numFmtId="0" fontId="7" fillId="13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top"/>
    </xf>
    <xf numFmtId="0" fontId="13" fillId="6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43" fontId="0" fillId="5" borderId="0" xfId="3" applyFont="1" applyFill="1"/>
    <xf numFmtId="0" fontId="2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66" fontId="4" fillId="3" borderId="0" xfId="3" applyNumberFormat="1" applyFont="1" applyFill="1" applyAlignment="1">
      <alignment horizontal="center"/>
    </xf>
    <xf numFmtId="0" fontId="16" fillId="14" borderId="0" xfId="0" applyFont="1" applyFill="1" applyAlignment="1">
      <alignment vertical="top"/>
    </xf>
    <xf numFmtId="0" fontId="9" fillId="14" borderId="0" xfId="0" applyFont="1" applyFill="1"/>
    <xf numFmtId="166" fontId="0" fillId="2" borderId="0" xfId="3" applyNumberFormat="1" applyFont="1" applyFill="1"/>
    <xf numFmtId="1" fontId="0" fillId="13" borderId="0" xfId="0" applyNumberFormat="1" applyFill="1"/>
    <xf numFmtId="0" fontId="22" fillId="6" borderId="0" xfId="0" applyFont="1" applyFill="1" applyAlignment="1">
      <alignment horizontal="center" vertical="top" wrapText="1"/>
    </xf>
    <xf numFmtId="166" fontId="0" fillId="6" borderId="0" xfId="1" applyNumberFormat="1" applyFont="1" applyFill="1"/>
    <xf numFmtId="0" fontId="10" fillId="12" borderId="0" xfId="0" applyFont="1" applyFill="1" applyAlignment="1">
      <alignment vertical="top"/>
    </xf>
    <xf numFmtId="0" fontId="0" fillId="15" borderId="0" xfId="0" applyFill="1"/>
    <xf numFmtId="1" fontId="0" fillId="3" borderId="0" xfId="0" applyNumberFormat="1" applyFill="1" applyProtection="1">
      <protection locked="0"/>
    </xf>
    <xf numFmtId="0" fontId="21" fillId="0" borderId="0" xfId="0" applyFont="1" applyFill="1" applyAlignment="1">
      <alignment horizontal="center"/>
    </xf>
    <xf numFmtId="0" fontId="9" fillId="12" borderId="0" xfId="0" applyFont="1" applyFill="1"/>
    <xf numFmtId="2" fontId="0" fillId="0" borderId="0" xfId="0" applyNumberFormat="1"/>
    <xf numFmtId="2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Fill="1" applyAlignment="1">
      <alignment vertical="top"/>
    </xf>
    <xf numFmtId="2" fontId="0" fillId="0" borderId="0" xfId="0" applyNumberFormat="1" applyFont="1" applyFill="1" applyAlignment="1">
      <alignment horizontal="left" vertical="top"/>
    </xf>
    <xf numFmtId="2" fontId="9" fillId="14" borderId="0" xfId="0" applyNumberFormat="1" applyFont="1" applyFill="1" applyAlignment="1">
      <alignment vertical="top"/>
    </xf>
    <xf numFmtId="1" fontId="0" fillId="0" borderId="0" xfId="0" applyNumberFormat="1" applyFont="1" applyFill="1" applyAlignment="1">
      <alignment horizontal="left" vertical="top"/>
    </xf>
    <xf numFmtId="1" fontId="20" fillId="0" borderId="0" xfId="0" applyNumberFormat="1" applyFont="1" applyFill="1" applyAlignment="1">
      <alignment horizontal="center" vertical="top"/>
    </xf>
    <xf numFmtId="1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1" fontId="21" fillId="0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4" fillId="0" borderId="0" xfId="0" quotePrefix="1" applyFont="1" applyFill="1" applyAlignment="1">
      <alignment horizontal="left" vertical="top" wrapText="1"/>
    </xf>
  </cellXfs>
  <cellStyles count="4">
    <cellStyle name="Comma" xfId="3" builtinId="3"/>
    <cellStyle name="Normal" xfId="0" builtinId="0"/>
    <cellStyle name="Normal 2" xfId="2"/>
    <cellStyle name="Percent" xfId="1" builtinId="5"/>
  </cellStyles>
  <dxfs count="17">
    <dxf>
      <font>
        <b/>
        <strike val="0"/>
        <outline val="0"/>
        <shadow val="0"/>
        <u val="none"/>
        <vertAlign val="baseline"/>
        <sz val="10"/>
        <color theme="7" tint="-0.249977111117893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EXAM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yVal>
            <c:numRef>
              <c:f>Grades!$K$5:$K$48</c:f>
              <c:numCache>
                <c:formatCode>0</c:formatCode>
                <c:ptCount val="44"/>
                <c:pt idx="0">
                  <c:v>60</c:v>
                </c:pt>
                <c:pt idx="1">
                  <c:v>57.142857142857139</c:v>
                </c:pt>
                <c:pt idx="2">
                  <c:v>71.428571428571431</c:v>
                </c:pt>
                <c:pt idx="3">
                  <c:v>80</c:v>
                </c:pt>
                <c:pt idx="4" formatCode="General">
                  <c:v>0</c:v>
                </c:pt>
                <c:pt idx="5">
                  <c:v>74.285714285714292</c:v>
                </c:pt>
                <c:pt idx="6">
                  <c:v>74.285714285714292</c:v>
                </c:pt>
                <c:pt idx="7">
                  <c:v>48.571428571428569</c:v>
                </c:pt>
                <c:pt idx="8">
                  <c:v>0</c:v>
                </c:pt>
                <c:pt idx="9">
                  <c:v>85.714285714285708</c:v>
                </c:pt>
                <c:pt idx="10">
                  <c:v>88.571428571428569</c:v>
                </c:pt>
                <c:pt idx="11">
                  <c:v>82.857142857142861</c:v>
                </c:pt>
                <c:pt idx="12">
                  <c:v>45.714285714285715</c:v>
                </c:pt>
                <c:pt idx="13">
                  <c:v>71.428571428571431</c:v>
                </c:pt>
                <c:pt idx="14">
                  <c:v>57.142857142857139</c:v>
                </c:pt>
                <c:pt idx="15">
                  <c:v>40</c:v>
                </c:pt>
                <c:pt idx="16">
                  <c:v>74.285714285714292</c:v>
                </c:pt>
                <c:pt idx="17">
                  <c:v>74.285714285714292</c:v>
                </c:pt>
                <c:pt idx="18">
                  <c:v>42.857142857142854</c:v>
                </c:pt>
                <c:pt idx="19">
                  <c:v>74</c:v>
                </c:pt>
                <c:pt idx="20">
                  <c:v>68.571428571428569</c:v>
                </c:pt>
                <c:pt idx="21">
                  <c:v>74.285714285714292</c:v>
                </c:pt>
                <c:pt idx="22">
                  <c:v>82.857142857142861</c:v>
                </c:pt>
                <c:pt idx="23">
                  <c:v>34.285714285714285</c:v>
                </c:pt>
                <c:pt idx="24">
                  <c:v>62.857142857142854</c:v>
                </c:pt>
                <c:pt idx="25">
                  <c:v>65.714285714285708</c:v>
                </c:pt>
                <c:pt idx="26">
                  <c:v>51.428571428571423</c:v>
                </c:pt>
                <c:pt idx="27">
                  <c:v>65.714285714285708</c:v>
                </c:pt>
                <c:pt idx="28">
                  <c:v>25.714285714285712</c:v>
                </c:pt>
                <c:pt idx="29">
                  <c:v>82.857142857142861</c:v>
                </c:pt>
                <c:pt idx="30">
                  <c:v>74.285714285714292</c:v>
                </c:pt>
                <c:pt idx="31">
                  <c:v>60</c:v>
                </c:pt>
                <c:pt idx="32">
                  <c:v>80</c:v>
                </c:pt>
                <c:pt idx="33">
                  <c:v>57.142857142857139</c:v>
                </c:pt>
                <c:pt idx="34">
                  <c:v>65.714285714285708</c:v>
                </c:pt>
                <c:pt idx="35">
                  <c:v>68.571428571428569</c:v>
                </c:pt>
                <c:pt idx="36">
                  <c:v>62.857142857142854</c:v>
                </c:pt>
                <c:pt idx="37">
                  <c:v>71.428571428571431</c:v>
                </c:pt>
                <c:pt idx="38">
                  <c:v>62.857142857142854</c:v>
                </c:pt>
                <c:pt idx="39">
                  <c:v>74.285714285714292</c:v>
                </c:pt>
                <c:pt idx="40">
                  <c:v>82.857142857142861</c:v>
                </c:pt>
                <c:pt idx="41" formatCode="General">
                  <c:v>0</c:v>
                </c:pt>
                <c:pt idx="42" formatCode="General">
                  <c:v>0</c:v>
                </c:pt>
                <c:pt idx="43">
                  <c:v>45.714285714285715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5-4F09-B943-60D029B1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786616"/>
        <c:axId val="506787272"/>
      </c:scatterChart>
      <c:valAx>
        <c:axId val="506786616"/>
        <c:scaling>
          <c:orientation val="minMax"/>
        </c:scaling>
        <c:delete val="1"/>
        <c:axPos val="b"/>
        <c:majorTickMark val="none"/>
        <c:minorTickMark val="none"/>
        <c:tickLblPos val="nextTo"/>
        <c:crossAx val="506787272"/>
        <c:crosses val="autoZero"/>
        <c:crossBetween val="midCat"/>
      </c:valAx>
      <c:valAx>
        <c:axId val="50678727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86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0</xdr:rowOff>
    </xdr:from>
    <xdr:to>
      <xdr:col>5</xdr:col>
      <xdr:colOff>9525</xdr:colOff>
      <xdr:row>38</xdr:row>
      <xdr:rowOff>143754</xdr:rowOff>
    </xdr:to>
    <xdr:pic>
      <xdr:nvPicPr>
        <xdr:cNvPr id="2" name="Picture 1" descr="Screen Clippi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148"/>
        <a:stretch/>
      </xdr:blipFill>
      <xdr:spPr>
        <a:xfrm>
          <a:off x="3400425" y="0"/>
          <a:ext cx="561975" cy="6296904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0</xdr:row>
      <xdr:rowOff>0</xdr:rowOff>
    </xdr:from>
    <xdr:to>
      <xdr:col>9</xdr:col>
      <xdr:colOff>219685</xdr:colOff>
      <xdr:row>38</xdr:row>
      <xdr:rowOff>143754</xdr:rowOff>
    </xdr:to>
    <xdr:pic>
      <xdr:nvPicPr>
        <xdr:cNvPr id="3" name="Picture 2" descr="Screen Clippi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79"/>
        <a:stretch/>
      </xdr:blipFill>
      <xdr:spPr>
        <a:xfrm>
          <a:off x="3829050" y="0"/>
          <a:ext cx="2781910" cy="6296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0</xdr:row>
      <xdr:rowOff>142875</xdr:rowOff>
    </xdr:from>
    <xdr:to>
      <xdr:col>21</xdr:col>
      <xdr:colOff>171450</xdr:colOff>
      <xdr:row>17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J46" totalsRowShown="0" headerRowDxfId="7">
  <autoFilter ref="A1:J46"/>
  <sortState ref="A2:J46">
    <sortCondition ref="C1:C46"/>
  </sortState>
  <tableColumns count="10">
    <tableColumn id="1" name="student id" dataDxfId="6"/>
    <tableColumn id="2" name="last" dataDxfId="5"/>
    <tableColumn id="3" name="first" dataDxfId="4"/>
    <tableColumn id="4" name="Exam 1" dataDxfId="3"/>
    <tableColumn id="5" name="Exam 2" dataCellStyle="Percent"/>
    <tableColumn id="6" name="Exam 3" dataDxfId="2"/>
    <tableColumn id="10" name="Exam 4" dataDxfId="1"/>
    <tableColumn id="7" name="exam 4 %" dataDxfId="0">
      <calculatedColumnFormula>Table1[[#This Row],[Exam 4]]/35*100</calculatedColumnFormula>
    </tableColumn>
    <tableColumn id="8" name="Exam 5"/>
    <tableColumn id="9" name="Exam 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9"/>
  <sheetViews>
    <sheetView tabSelected="1" zoomScaleNormal="10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A8" sqref="A8"/>
    </sheetView>
  </sheetViews>
  <sheetFormatPr defaultRowHeight="12.75" x14ac:dyDescent="0.2"/>
  <cols>
    <col min="1" max="1" width="13.140625" style="102" customWidth="1"/>
    <col min="2" max="2" width="13.7109375" customWidth="1"/>
    <col min="3" max="3" width="17.42578125" customWidth="1"/>
    <col min="4" max="5" width="9.28515625" style="52" customWidth="1"/>
    <col min="6" max="7" width="14" style="52" customWidth="1"/>
    <col min="8" max="9" width="14.7109375" style="52" customWidth="1"/>
    <col min="10" max="10" width="8" style="22" customWidth="1"/>
    <col min="11" max="11" width="7.85546875" style="7" customWidth="1"/>
    <col min="12" max="12" width="2" customWidth="1"/>
    <col min="13" max="13" width="0" hidden="1" customWidth="1"/>
  </cols>
  <sheetData>
    <row r="1" spans="1:13" ht="25.5" x14ac:dyDescent="0.35">
      <c r="B1" s="1" t="s">
        <v>25</v>
      </c>
    </row>
    <row r="2" spans="1:13" ht="15" x14ac:dyDescent="0.2">
      <c r="B2" s="2" t="s">
        <v>26</v>
      </c>
      <c r="I2"/>
    </row>
    <row r="3" spans="1:13" ht="7.5" customHeight="1" x14ac:dyDescent="0.2"/>
    <row r="4" spans="1:13" s="3" customFormat="1" ht="44.25" customHeight="1" x14ac:dyDescent="0.2">
      <c r="A4" s="103" t="s">
        <v>27</v>
      </c>
      <c r="B4" s="3" t="s">
        <v>0</v>
      </c>
      <c r="C4" s="3" t="s">
        <v>1</v>
      </c>
      <c r="D4" s="3" t="s">
        <v>197</v>
      </c>
      <c r="E4" s="89" t="s">
        <v>198</v>
      </c>
      <c r="F4" s="3" t="s">
        <v>205</v>
      </c>
      <c r="G4" s="3" t="s">
        <v>206</v>
      </c>
      <c r="H4" s="3" t="s">
        <v>207</v>
      </c>
      <c r="I4" s="3" t="s">
        <v>208</v>
      </c>
      <c r="J4" s="110" t="s">
        <v>199</v>
      </c>
      <c r="K4" s="86" t="s">
        <v>202</v>
      </c>
    </row>
    <row r="5" spans="1:13" ht="15" x14ac:dyDescent="0.2">
      <c r="A5" s="104" t="s">
        <v>28</v>
      </c>
      <c r="B5" s="33" t="s">
        <v>29</v>
      </c>
      <c r="C5" s="33" t="s">
        <v>30</v>
      </c>
      <c r="D5" s="108">
        <f>VLOOKUP(A5,Grades!$A$5:$AL$48,21,FALSE)</f>
        <v>78</v>
      </c>
      <c r="E5" s="109">
        <f>VLOOKUP(A5,Grades!$A$5:$AL$48,38,FALSE)</f>
        <v>85.714285714285708</v>
      </c>
      <c r="F5" s="87">
        <f>VLOOKUP(A5,Grades!$A$5:$AL$48,16,FALSE)</f>
        <v>100</v>
      </c>
      <c r="G5" s="87">
        <f>VLOOKUP(A5,Grades!$A$5:$AL$48,17,FALSE)</f>
        <v>77</v>
      </c>
      <c r="H5" s="87">
        <f>VLOOKUP(A5,Grades!$A$5:$AL$48,18,FALSE)</f>
        <v>90</v>
      </c>
      <c r="I5" s="87">
        <f>VLOOKUP(A5,Grades!$A$5:$AL$48,20,FALSE)</f>
        <v>100</v>
      </c>
      <c r="J5" s="111">
        <f>VLOOKUP(A5,Grades!$A$5:$AL$48,15,FALSE)</f>
        <v>65.767857142857139</v>
      </c>
      <c r="K5" s="90">
        <f>IF(J5&lt;=50,J5,SUM(D5*0.1,E5*0.1,F5*0.07,G5*0.07,H5*0.07,I5*0.09,J5*0.5))</f>
        <v>76.945357142857148</v>
      </c>
    </row>
    <row r="6" spans="1:13" ht="12" customHeight="1" x14ac:dyDescent="0.2">
      <c r="A6" s="104" t="s">
        <v>63</v>
      </c>
      <c r="B6" s="33" t="s">
        <v>64</v>
      </c>
      <c r="C6" s="33" t="s">
        <v>157</v>
      </c>
      <c r="D6" s="108">
        <f>VLOOKUP(A6,Grades!$A$5:$AL$48,21,FALSE)</f>
        <v>70</v>
      </c>
      <c r="E6" s="109">
        <f>VLOOKUP(A6,Grades!$A$5:$AL$48,38,FALSE)</f>
        <v>71.428571428571431</v>
      </c>
      <c r="F6" s="87">
        <f>VLOOKUP(A6,Grades!$A$5:$AL$48,16,FALSE)</f>
        <v>94</v>
      </c>
      <c r="G6" s="87">
        <f>VLOOKUP(A6,Grades!$A$5:$AL$48,17,FALSE)</f>
        <v>87</v>
      </c>
      <c r="H6" s="87">
        <f>VLOOKUP(A6,Grades!$A$5:$AL$48,18,FALSE)</f>
        <v>92</v>
      </c>
      <c r="I6" s="87">
        <f>VLOOKUP(A6,Grades!$A$5:$AL$48,20,FALSE)</f>
        <v>100</v>
      </c>
      <c r="J6" s="111">
        <f>VLOOKUP(A6,Grades!$A$5:$AL$48,15,FALSE)</f>
        <v>69.982142857142861</v>
      </c>
      <c r="K6" s="90">
        <f>IF(J6&lt;=50,J6,SUM(D6*0.1,E6*0.1,F6*0.07,G6*0.07,H6*0.07,I6*0.09,J6*0.5))</f>
        <v>77.243928571428569</v>
      </c>
    </row>
    <row r="7" spans="1:13" ht="15" x14ac:dyDescent="0.2">
      <c r="A7" s="104" t="s">
        <v>31</v>
      </c>
      <c r="B7" s="33" t="s">
        <v>32</v>
      </c>
      <c r="C7" s="33" t="s">
        <v>33</v>
      </c>
      <c r="D7" s="108">
        <f>VLOOKUP(A7,Grades!$A$5:$AL$48,21,FALSE)</f>
        <v>57</v>
      </c>
      <c r="E7" s="109">
        <f>VLOOKUP(A7,Grades!$A$5:$AL$48,38,FALSE)</f>
        <v>50</v>
      </c>
      <c r="F7" s="87">
        <f>VLOOKUP(A7,Grades!$A$5:$AL$48,16,FALSE)</f>
        <v>89</v>
      </c>
      <c r="G7" s="87">
        <f>VLOOKUP(A7,Grades!$A$5:$AL$48,17,FALSE)</f>
        <v>85</v>
      </c>
      <c r="H7" s="87">
        <f>VLOOKUP(A7,Grades!$A$5:$AL$48,18,FALSE)</f>
        <v>79</v>
      </c>
      <c r="I7" s="87">
        <f>VLOOKUP(A7,Grades!$A$5:$AL$48,20,FALSE)</f>
        <v>50</v>
      </c>
      <c r="J7" s="111">
        <f>VLOOKUP(A7,Grades!$A$5:$AL$48,15,FALSE)</f>
        <v>66.5</v>
      </c>
      <c r="K7" s="90">
        <f>IF(J7&lt;=50,J7,SUM(D7*0.1,E7*0.1,F7*0.07,G7*0.07,H7*0.07,I7*0.09,J7*0.5))</f>
        <v>66.16</v>
      </c>
    </row>
    <row r="8" spans="1:13" ht="15" x14ac:dyDescent="0.2">
      <c r="A8" s="104">
        <v>300287942</v>
      </c>
      <c r="B8" s="33" t="s">
        <v>35</v>
      </c>
      <c r="C8" s="97" t="s">
        <v>36</v>
      </c>
      <c r="D8" s="108" t="e">
        <f>VLOOKUP(A8,Grades!$A$5:$AL$48,21,FALSE)</f>
        <v>#N/A</v>
      </c>
      <c r="E8" s="109" t="e">
        <f>VLOOKUP(A8,Grades!$A$5:$AL$48,38,FALSE)</f>
        <v>#N/A</v>
      </c>
      <c r="F8" s="87" t="e">
        <f>VLOOKUP(A8,Grades!$A$5:$AL$48,16,FALSE)</f>
        <v>#N/A</v>
      </c>
      <c r="G8" s="87" t="e">
        <f>VLOOKUP(A8,Grades!$A$5:$AL$48,17,FALSE)</f>
        <v>#N/A</v>
      </c>
      <c r="H8" s="87" t="e">
        <f>VLOOKUP(A8,Grades!$A$5:$AL$48,18,FALSE)</f>
        <v>#N/A</v>
      </c>
      <c r="I8" s="87" t="e">
        <f>VLOOKUP(A8,Grades!$A$5:$AL$48,20,FALSE)</f>
        <v>#N/A</v>
      </c>
      <c r="J8" s="111">
        <v>62</v>
      </c>
      <c r="K8" s="90" t="e">
        <f>IF(J8&lt;=50,J8,SUM(D8*0.1,E8*0.1,F8*0.07,G8*0.07,H8*0.07,I8*0.09,J8*0.5))</f>
        <v>#N/A</v>
      </c>
    </row>
    <row r="9" spans="1:13" s="71" customFormat="1" ht="15" x14ac:dyDescent="0.2">
      <c r="A9" s="104" t="s">
        <v>37</v>
      </c>
      <c r="B9" s="33" t="s">
        <v>38</v>
      </c>
      <c r="C9" s="33" t="s">
        <v>39</v>
      </c>
      <c r="D9" s="108">
        <f>VLOOKUP(A9,Grades!$A$5:$AL$48,21,FALSE)</f>
        <v>96</v>
      </c>
      <c r="E9" s="109">
        <f>VLOOKUP(A9,Grades!$A$5:$AL$48,38,FALSE)</f>
        <v>78.571428571428569</v>
      </c>
      <c r="F9" s="87">
        <f>VLOOKUP(A9,Grades!$A$5:$AL$48,16,FALSE)</f>
        <v>50</v>
      </c>
      <c r="G9" s="87">
        <f>VLOOKUP(A9,Grades!$A$5:$AL$48,17,FALSE)</f>
        <v>85</v>
      </c>
      <c r="H9" s="87">
        <f>VLOOKUP(A9,Grades!$A$5:$AL$48,18,FALSE)</f>
        <v>79</v>
      </c>
      <c r="I9" s="100">
        <f>VLOOKUP(A9,Grades!$A$5:$AL$48,20,FALSE)</f>
        <v>100</v>
      </c>
      <c r="J9" s="111">
        <f>VLOOKUP(A9,Grades!$A$5:$AL$48,15,FALSE)</f>
        <v>65.714285714285722</v>
      </c>
      <c r="K9" s="90">
        <f>IF(J9&lt;=50,J9,SUM(D9*0.1,E9*0.1,F9*0.07,G9*0.07,H9*0.07,I9*0.09,J9*0.5))</f>
        <v>74.294285714285721</v>
      </c>
      <c r="M9" s="62" t="s">
        <v>210</v>
      </c>
    </row>
    <row r="10" spans="1:13" ht="15" x14ac:dyDescent="0.2">
      <c r="A10" s="104" t="s">
        <v>40</v>
      </c>
      <c r="B10" s="33" t="s">
        <v>41</v>
      </c>
      <c r="C10" s="33" t="s">
        <v>42</v>
      </c>
      <c r="D10" s="108">
        <f>VLOOKUP(A10,Grades!$A$5:$AL$48,21,FALSE)</f>
        <v>63</v>
      </c>
      <c r="E10" s="109">
        <f>VLOOKUP(A10,Grades!$A$5:$AL$48,38,FALSE)</f>
        <v>78.571428571428569</v>
      </c>
      <c r="F10" s="87">
        <f>VLOOKUP(A10,Grades!$A$5:$AL$48,16,FALSE)</f>
        <v>100</v>
      </c>
      <c r="G10" s="87">
        <f>VLOOKUP(A10,Grades!$A$5:$AL$48,17,FALSE)</f>
        <v>100</v>
      </c>
      <c r="H10" s="87">
        <f>VLOOKUP(A10,Grades!$A$5:$AL$48,18,FALSE)</f>
        <v>99</v>
      </c>
      <c r="I10" s="87">
        <f>VLOOKUP(A10,Grades!$A$5:$AL$48,20,FALSE)</f>
        <v>100</v>
      </c>
      <c r="J10" s="111">
        <f>VLOOKUP(A10,Grades!$A$5:$AL$48,15,FALSE)</f>
        <v>72.035714285714278</v>
      </c>
      <c r="K10" s="90">
        <f>IF(J10&lt;=50,J10,SUM(D10*0.1,E10*0.1,F10*0.07,G10*0.07,H10*0.07,I10*0.09,J10*0.5))</f>
        <v>80.10499999999999</v>
      </c>
      <c r="M10" s="101" t="s">
        <v>211</v>
      </c>
    </row>
    <row r="11" spans="1:13" ht="15" x14ac:dyDescent="0.2">
      <c r="A11" s="104" t="s">
        <v>43</v>
      </c>
      <c r="B11" s="33" t="s">
        <v>44</v>
      </c>
      <c r="C11" s="33" t="s">
        <v>45</v>
      </c>
      <c r="D11" s="108">
        <f>VLOOKUP(A11,Grades!$A$5:$AL$48,21,FALSE)</f>
        <v>76</v>
      </c>
      <c r="E11" s="109">
        <f>VLOOKUP(A11,Grades!$A$5:$AL$48,38,FALSE)</f>
        <v>71.428571428571431</v>
      </c>
      <c r="F11" s="87">
        <f>VLOOKUP(A11,Grades!$A$5:$AL$48,16,FALSE)</f>
        <v>97</v>
      </c>
      <c r="G11" s="87">
        <f>VLOOKUP(A11,Grades!$A$5:$AL$48,17,FALSE)</f>
        <v>98</v>
      </c>
      <c r="H11" s="87">
        <f>VLOOKUP(A11,Grades!$A$5:$AL$48,18,FALSE)</f>
        <v>94</v>
      </c>
      <c r="I11" s="87">
        <f>VLOOKUP(A11,Grades!$A$5:$AL$48,20,FALSE)</f>
        <v>100</v>
      </c>
      <c r="J11" s="111">
        <f>VLOOKUP(A11,Grades!$A$5:$AL$48,15,FALSE)</f>
        <v>74.857142857142861</v>
      </c>
      <c r="K11" s="90">
        <f>IF(J11&lt;=50,J11,SUM(D11*0.1,E11*0.1,F11*0.07,G11*0.07,H11*0.07,I11*0.09,J11*0.5))</f>
        <v>81.401428571428568</v>
      </c>
    </row>
    <row r="12" spans="1:13" ht="15" x14ac:dyDescent="0.2">
      <c r="A12" s="104" t="s">
        <v>46</v>
      </c>
      <c r="B12" s="33" t="s">
        <v>47</v>
      </c>
      <c r="C12" s="33" t="s">
        <v>48</v>
      </c>
      <c r="D12" s="108">
        <f>VLOOKUP(A12,Grades!$A$5:$AL$48,21,FALSE)</f>
        <v>55</v>
      </c>
      <c r="E12" s="109">
        <f>VLOOKUP(A12,Grades!$A$5:$AL$48,38,FALSE)</f>
        <v>50</v>
      </c>
      <c r="F12" s="87">
        <f>VLOOKUP(A12,Grades!$A$5:$AL$48,16,FALSE)</f>
        <v>70</v>
      </c>
      <c r="G12" s="87">
        <f>VLOOKUP(A12,Grades!$A$5:$AL$48,17,FALSE)</f>
        <v>71</v>
      </c>
      <c r="H12" s="87">
        <f>VLOOKUP(A12,Grades!$A$5:$AL$48,18,FALSE)</f>
        <v>74</v>
      </c>
      <c r="I12" s="100">
        <f>VLOOKUP(A12,Grades!$A$5:$AL$48,20,FALSE)</f>
        <v>100</v>
      </c>
      <c r="J12" s="111">
        <f>VLOOKUP(A12,Grades!$A$5:$AL$48,15,FALSE)</f>
        <v>60.321428571428569</v>
      </c>
      <c r="K12" s="90">
        <f>IF(J12&lt;=50,J12,SUM(D12*0.1,E12*0.1,F12*0.07,G12*0.07,H12*0.07,I12*0.09,J12*0.5))</f>
        <v>64.710714285714289</v>
      </c>
    </row>
    <row r="13" spans="1:13" ht="15" x14ac:dyDescent="0.2">
      <c r="A13" s="104" t="s">
        <v>49</v>
      </c>
      <c r="B13" s="33" t="s">
        <v>50</v>
      </c>
      <c r="C13" s="33" t="s">
        <v>51</v>
      </c>
      <c r="D13" s="108">
        <f>VLOOKUP(A13,Grades!$A$5:$AL$48,21,FALSE)</f>
        <v>22</v>
      </c>
      <c r="E13" s="109">
        <f>VLOOKUP(A13,Grades!$A$5:$AL$48,38,FALSE)</f>
        <v>42.857142857142854</v>
      </c>
      <c r="F13" s="87">
        <f>VLOOKUP(A13,Grades!$A$5:$AL$48,16,FALSE)</f>
        <v>94</v>
      </c>
      <c r="G13" s="87">
        <f>VLOOKUP(A13,Grades!$A$5:$AL$48,17,FALSE)</f>
        <v>100</v>
      </c>
      <c r="H13" s="87">
        <f>VLOOKUP(A13,Grades!$A$5:$AL$48,18,FALSE)</f>
        <v>99</v>
      </c>
      <c r="I13" s="87">
        <f>VLOOKUP(A13,Grades!$A$5:$AL$48,20,FALSE)</f>
        <v>0</v>
      </c>
      <c r="J13" s="111">
        <f>VLOOKUP(A13,Grades!$A$5:$AL$48,15,FALSE)</f>
        <v>68.696428571428569</v>
      </c>
      <c r="K13" s="90">
        <f>IF(J13&lt;=50,J13,SUM(D13*0.1,E13*0.1,F13*0.07,G13*0.07,H13*0.07,I13*0.09,J13*0.5))</f>
        <v>61.34392857142857</v>
      </c>
    </row>
    <row r="14" spans="1:13" ht="15" x14ac:dyDescent="0.2">
      <c r="A14" s="104" t="s">
        <v>61</v>
      </c>
      <c r="B14" s="33" t="s">
        <v>62</v>
      </c>
      <c r="C14" s="33" t="s">
        <v>150</v>
      </c>
      <c r="D14" s="108">
        <f>VLOOKUP(A14,Grades!$A$5:$AL$48,21,FALSE)</f>
        <v>81</v>
      </c>
      <c r="E14" s="109">
        <f>VLOOKUP(A14,Grades!$A$5:$AL$48,38,FALSE)</f>
        <v>121.42857142857142</v>
      </c>
      <c r="F14" s="87">
        <f>VLOOKUP(A14,Grades!$A$5:$AL$48,16,FALSE)</f>
        <v>94</v>
      </c>
      <c r="G14" s="87">
        <f>VLOOKUP(A14,Grades!$A$5:$AL$48,17,FALSE)</f>
        <v>87</v>
      </c>
      <c r="H14" s="87">
        <f>VLOOKUP(A14,Grades!$A$5:$AL$48,18,FALSE)</f>
        <v>92</v>
      </c>
      <c r="I14" s="87">
        <f>VLOOKUP(A14,Grades!$A$5:$AL$48,20,FALSE)</f>
        <v>50</v>
      </c>
      <c r="J14" s="111">
        <f>VLOOKUP(A14,Grades!$A$5:$AL$48,15,FALSE)</f>
        <v>87.357142857142861</v>
      </c>
      <c r="K14" s="90">
        <f>IF(J14&lt;=50,J14,SUM(D14*0.1,E14*0.1,F14*0.07,G14*0.07,H14*0.07,I14*0.09,J14*0.5))</f>
        <v>87.531428571428563</v>
      </c>
    </row>
    <row r="15" spans="1:13" ht="15" x14ac:dyDescent="0.2">
      <c r="A15" s="104" t="s">
        <v>133</v>
      </c>
      <c r="B15" s="33" t="s">
        <v>134</v>
      </c>
      <c r="C15" s="33" t="s">
        <v>153</v>
      </c>
      <c r="D15" s="108">
        <f>VLOOKUP(A15,Grades!$A$5:$AL$48,21,FALSE)</f>
        <v>24</v>
      </c>
      <c r="E15" s="109">
        <f>VLOOKUP(A15,Grades!$A$5:$AL$48,38,FALSE)</f>
        <v>78.571428571428569</v>
      </c>
      <c r="F15" s="87">
        <f>VLOOKUP(A15,Grades!$A$5:$AL$48,16,FALSE)</f>
        <v>0</v>
      </c>
      <c r="G15" s="87">
        <f>VLOOKUP(A15,Grades!$A$5:$AL$48,17,FALSE)</f>
        <v>0</v>
      </c>
      <c r="H15" s="87">
        <f>VLOOKUP(A15,Grades!$A$5:$AL$48,18,FALSE)</f>
        <v>0</v>
      </c>
      <c r="I15" s="87">
        <f>VLOOKUP(A15,Grades!$A$5:$AL$48,20,FALSE)</f>
        <v>0</v>
      </c>
      <c r="J15" s="111">
        <f>VLOOKUP(A15,Grades!$A$5:$AL$48,15,FALSE)</f>
        <v>9.625</v>
      </c>
      <c r="K15" s="90">
        <f>IF(J15&lt;=50,J15,SUM(D15*0.1,E15*0.1,F15*0.07,G15*0.07,H15*0.07,I15*0.09,J15*0.5))</f>
        <v>9.625</v>
      </c>
    </row>
    <row r="16" spans="1:13" ht="15" x14ac:dyDescent="0.2">
      <c r="A16" s="104" t="s">
        <v>52</v>
      </c>
      <c r="B16" s="33" t="s">
        <v>53</v>
      </c>
      <c r="C16" s="33" t="s">
        <v>54</v>
      </c>
      <c r="D16" s="108">
        <f>VLOOKUP(A16,Grades!$A$5:$AL$48,21,FALSE)</f>
        <v>86</v>
      </c>
      <c r="E16" s="109">
        <f>VLOOKUP(A16,Grades!$A$5:$AL$48,38,FALSE)</f>
        <v>42.857142857142854</v>
      </c>
      <c r="F16" s="87">
        <f>VLOOKUP(A16,Grades!$A$5:$AL$48,16,FALSE)</f>
        <v>89</v>
      </c>
      <c r="G16" s="87">
        <f>VLOOKUP(A16,Grades!$A$5:$AL$48,17,FALSE)</f>
        <v>85</v>
      </c>
      <c r="H16" s="87">
        <f>VLOOKUP(A16,Grades!$A$5:$AL$48,18,FALSE)</f>
        <v>79</v>
      </c>
      <c r="I16" s="87">
        <f>VLOOKUP(A16,Grades!$A$5:$AL$48,20,FALSE)</f>
        <v>100</v>
      </c>
      <c r="J16" s="111">
        <f>VLOOKUP(A16,Grades!$A$5:$AL$48,15,FALSE)</f>
        <v>66</v>
      </c>
      <c r="K16" s="90">
        <f>IF(J16&lt;=50,J16,SUM(D16*0.1,E16*0.1,F16*0.07,G16*0.07,H16*0.07,I16*0.09,J16*0.5))</f>
        <v>72.59571428571428</v>
      </c>
    </row>
    <row r="17" spans="1:11" ht="15" x14ac:dyDescent="0.2">
      <c r="A17" s="104" t="s">
        <v>55</v>
      </c>
      <c r="B17" s="33" t="s">
        <v>56</v>
      </c>
      <c r="C17" s="33" t="s">
        <v>57</v>
      </c>
      <c r="D17" s="108">
        <f>VLOOKUP(A17,Grades!$A$5:$AL$48,21,FALSE)</f>
        <v>70</v>
      </c>
      <c r="E17" s="109">
        <f>VLOOKUP(A17,Grades!$A$5:$AL$48,38,FALSE)</f>
        <v>92.857142857142861</v>
      </c>
      <c r="F17" s="87">
        <f>VLOOKUP(A17,Grades!$A$5:$AL$48,16,FALSE)</f>
        <v>100</v>
      </c>
      <c r="G17" s="87">
        <f>VLOOKUP(A17,Grades!$A$5:$AL$48,17,FALSE)</f>
        <v>99</v>
      </c>
      <c r="H17" s="87">
        <f>VLOOKUP(A17,Grades!$A$5:$AL$48,18,FALSE)</f>
        <v>99</v>
      </c>
      <c r="I17" s="87">
        <f>VLOOKUP(A17,Grades!$A$5:$AL$48,20,FALSE)</f>
        <v>100</v>
      </c>
      <c r="J17" s="111">
        <f>VLOOKUP(A17,Grades!$A$5:$AL$48,15,FALSE)</f>
        <v>78.160714285714278</v>
      </c>
      <c r="K17" s="90">
        <f>IF(J17&lt;=50,J17,SUM(D17*0.1,E17*0.1,F17*0.07,G17*0.07,H17*0.07,I17*0.09,J17*0.5))</f>
        <v>85.22607142857143</v>
      </c>
    </row>
    <row r="18" spans="1:11" ht="15" x14ac:dyDescent="0.2">
      <c r="A18" s="104" t="s">
        <v>139</v>
      </c>
      <c r="B18" s="33" t="s">
        <v>140</v>
      </c>
      <c r="C18" s="33" t="s">
        <v>154</v>
      </c>
      <c r="D18" s="108">
        <f>VLOOKUP(A18,Grades!$A$5:$AL$48,21,FALSE)</f>
        <v>90</v>
      </c>
      <c r="E18" s="109">
        <f>VLOOKUP(A18,Grades!$A$5:$AL$48,38,FALSE)</f>
        <v>128.57142857142858</v>
      </c>
      <c r="F18" s="87">
        <f>VLOOKUP(A18,Grades!$A$5:$AL$48,16,FALSE)</f>
        <v>94</v>
      </c>
      <c r="G18" s="87">
        <f>VLOOKUP(A18,Grades!$A$5:$AL$48,17,FALSE)</f>
        <v>100</v>
      </c>
      <c r="H18" s="87">
        <f>VLOOKUP(A18,Grades!$A$5:$AL$48,18,FALSE)</f>
        <v>99</v>
      </c>
      <c r="I18" s="87">
        <f>VLOOKUP(A18,Grades!$A$5:$AL$48,20,FALSE)</f>
        <v>100</v>
      </c>
      <c r="J18" s="111">
        <f>VLOOKUP(A18,Grades!$A$5:$AL$48,15,FALSE)</f>
        <v>74.035714285714278</v>
      </c>
      <c r="K18" s="90">
        <f>IF(J18&lt;=50,J18,SUM(D18*0.1,E18*0.1,F18*0.07,G18*0.07,H18*0.07,I18*0.09,J18*0.5))</f>
        <v>88.385000000000005</v>
      </c>
    </row>
    <row r="19" spans="1:11" ht="15" x14ac:dyDescent="0.2">
      <c r="A19" s="104" t="s">
        <v>58</v>
      </c>
      <c r="B19" s="33" t="s">
        <v>59</v>
      </c>
      <c r="C19" s="33" t="s">
        <v>60</v>
      </c>
      <c r="D19" s="108">
        <f>VLOOKUP(A19,Grades!$A$5:$AL$48,21,FALSE)</f>
        <v>58</v>
      </c>
      <c r="E19" s="109">
        <f>VLOOKUP(A19,Grades!$A$5:$AL$48,38,FALSE)</f>
        <v>50</v>
      </c>
      <c r="F19" s="87">
        <f>VLOOKUP(A19,Grades!$A$5:$AL$48,16,FALSE)</f>
        <v>70</v>
      </c>
      <c r="G19" s="87">
        <f>VLOOKUP(A19,Grades!$A$5:$AL$48,17,FALSE)</f>
        <v>71</v>
      </c>
      <c r="H19" s="87">
        <f>VLOOKUP(A19,Grades!$A$5:$AL$48,18,FALSE)</f>
        <v>74</v>
      </c>
      <c r="I19" s="100">
        <f>VLOOKUP(A19,Grades!$A$5:$AL$48,20,FALSE)</f>
        <v>100</v>
      </c>
      <c r="J19" s="111">
        <f>VLOOKUP(A19,Grades!$A$5:$AL$48,15,FALSE)</f>
        <v>52.107142857142861</v>
      </c>
      <c r="K19" s="90">
        <f>IF(J19&lt;=50,J19,SUM(D19*0.1,E19*0.1,F19*0.07,G19*0.07,H19*0.07,I19*0.09,J19*0.5))</f>
        <v>60.903571428571432</v>
      </c>
    </row>
    <row r="20" spans="1:11" ht="15" x14ac:dyDescent="0.2">
      <c r="A20" s="104" t="s">
        <v>67</v>
      </c>
      <c r="B20" s="33" t="s">
        <v>68</v>
      </c>
      <c r="C20" s="33" t="s">
        <v>69</v>
      </c>
      <c r="D20" s="108">
        <f>VLOOKUP(A20,Grades!$A$5:$AL$48,21,FALSE)</f>
        <v>73</v>
      </c>
      <c r="E20" s="109">
        <f>VLOOKUP(A20,Grades!$A$5:$AL$48,38,FALSE)</f>
        <v>21.428571428571427</v>
      </c>
      <c r="F20" s="87">
        <f>VLOOKUP(A20,Grades!$A$5:$AL$48,16,FALSE)</f>
        <v>64</v>
      </c>
      <c r="G20" s="87">
        <f>VLOOKUP(A20,Grades!$A$5:$AL$48,17,FALSE)</f>
        <v>42</v>
      </c>
      <c r="H20" s="87">
        <f>VLOOKUP(A20,Grades!$A$5:$AL$48,18,FALSE)</f>
        <v>63</v>
      </c>
      <c r="I20" s="87">
        <f>VLOOKUP(A20,Grades!$A$5:$AL$48,20,FALSE)</f>
        <v>100</v>
      </c>
      <c r="J20" s="111">
        <f>VLOOKUP(A20,Grades!$A$5:$AL$48,15,FALSE)</f>
        <v>17.5</v>
      </c>
      <c r="K20" s="90">
        <f>IF(J20&lt;=50,J20,SUM(D20*0.1,E20*0.1,F20*0.07,G20*0.07,H20*0.07,I20*0.09,J20*0.5))</f>
        <v>17.5</v>
      </c>
    </row>
    <row r="21" spans="1:11" ht="15" x14ac:dyDescent="0.2">
      <c r="A21" s="104" t="s">
        <v>70</v>
      </c>
      <c r="B21" s="33" t="s">
        <v>71</v>
      </c>
      <c r="C21" s="33" t="s">
        <v>72</v>
      </c>
      <c r="D21" s="108">
        <f>VLOOKUP(A21,Grades!$A$5:$AL$48,21,FALSE)</f>
        <v>100</v>
      </c>
      <c r="E21" s="109">
        <f>VLOOKUP(A21,Grades!$A$5:$AL$48,38,FALSE)</f>
        <v>85.714285714285708</v>
      </c>
      <c r="F21" s="87">
        <f>VLOOKUP(A21,Grades!$A$5:$AL$48,16,FALSE)</f>
        <v>51</v>
      </c>
      <c r="G21" s="87">
        <f>VLOOKUP(A21,Grades!$A$5:$AL$48,17,FALSE)</f>
        <v>87</v>
      </c>
      <c r="H21" s="87">
        <f>VLOOKUP(A21,Grades!$A$5:$AL$48,18,FALSE)</f>
        <v>81</v>
      </c>
      <c r="I21" s="87">
        <f>VLOOKUP(A21,Grades!$A$5:$AL$48,20,FALSE)</f>
        <v>100</v>
      </c>
      <c r="J21" s="111">
        <f>VLOOKUP(A21,Grades!$A$5:$AL$48,15,FALSE)</f>
        <v>54.053571428571431</v>
      </c>
      <c r="K21" s="90">
        <f>IF(J21&lt;=50,J21,SUM(D21*0.1,E21*0.1,F21*0.07,G21*0.07,H21*0.07,I21*0.09,J21*0.5))</f>
        <v>69.92821428571429</v>
      </c>
    </row>
    <row r="22" spans="1:11" ht="15" x14ac:dyDescent="0.2">
      <c r="A22" s="104" t="s">
        <v>73</v>
      </c>
      <c r="B22" s="33" t="s">
        <v>74</v>
      </c>
      <c r="C22" s="33" t="s">
        <v>75</v>
      </c>
      <c r="D22" s="108">
        <f>VLOOKUP(A22,Grades!$A$5:$AL$48,21,FALSE)</f>
        <v>62</v>
      </c>
      <c r="E22" s="109">
        <f>VLOOKUP(A22,Grades!$A$5:$AL$48,38,FALSE)</f>
        <v>128.57142857142858</v>
      </c>
      <c r="F22" s="87">
        <f>VLOOKUP(A22,Grades!$A$5:$AL$48,16,FALSE)</f>
        <v>100</v>
      </c>
      <c r="G22" s="87">
        <f>VLOOKUP(A22,Grades!$A$5:$AL$48,17,FALSE)</f>
        <v>100</v>
      </c>
      <c r="H22" s="87">
        <f>VLOOKUP(A22,Grades!$A$5:$AL$48,18,FALSE)</f>
        <v>95</v>
      </c>
      <c r="I22" s="87">
        <f>VLOOKUP(A22,Grades!$A$5:$AL$48,20,FALSE)</f>
        <v>100</v>
      </c>
      <c r="J22" s="111">
        <f>VLOOKUP(A22,Grades!$A$5:$AL$48,15,FALSE)</f>
        <v>75.428571428571431</v>
      </c>
      <c r="K22" s="90">
        <f>IF(J22&lt;=50,J22,SUM(D22*0.1,E22*0.1,F22*0.07,G22*0.07,H22*0.07,I22*0.09,J22*0.5))</f>
        <v>86.421428571428578</v>
      </c>
    </row>
    <row r="23" spans="1:11" ht="15" x14ac:dyDescent="0.2">
      <c r="A23" s="104" t="s">
        <v>76</v>
      </c>
      <c r="B23" s="33" t="s">
        <v>77</v>
      </c>
      <c r="C23" s="33" t="s">
        <v>78</v>
      </c>
      <c r="D23" s="108">
        <f>VLOOKUP(A23,Grades!$A$5:$AL$48,21,FALSE)</f>
        <v>81</v>
      </c>
      <c r="E23" s="109">
        <f>VLOOKUP(A23,Grades!$A$5:$AL$48,38,FALSE)</f>
        <v>64.285714285714292</v>
      </c>
      <c r="F23" s="87">
        <f>VLOOKUP(A23,Grades!$A$5:$AL$48,16,FALSE)</f>
        <v>81</v>
      </c>
      <c r="G23" s="87">
        <f>VLOOKUP(A23,Grades!$A$5:$AL$48,17,FALSE)</f>
        <v>82</v>
      </c>
      <c r="H23" s="87">
        <f>VLOOKUP(A23,Grades!$A$5:$AL$48,18,FALSE)</f>
        <v>95</v>
      </c>
      <c r="I23" s="87">
        <f>VLOOKUP(A23,Grades!$A$5:$AL$48,20,FALSE)</f>
        <v>100</v>
      </c>
      <c r="J23" s="111">
        <f>VLOOKUP(A23,Grades!$A$5:$AL$48,15,FALSE)</f>
        <v>83.5</v>
      </c>
      <c r="K23" s="90">
        <f>IF(J23&lt;=50,J23,SUM(D23*0.1,E23*0.1,F23*0.07,G23*0.07,H23*0.07,I23*0.09,J23*0.5))</f>
        <v>83.338571428571427</v>
      </c>
    </row>
    <row r="24" spans="1:11" ht="15" x14ac:dyDescent="0.2">
      <c r="A24" s="104" t="s">
        <v>79</v>
      </c>
      <c r="B24" s="33" t="s">
        <v>80</v>
      </c>
      <c r="C24" s="33" t="s">
        <v>81</v>
      </c>
      <c r="D24" s="108">
        <f>VLOOKUP(A24,Grades!$A$5:$AL$48,21,FALSE)</f>
        <v>34</v>
      </c>
      <c r="E24" s="109">
        <f>VLOOKUP(A24,Grades!$A$5:$AL$48,38,FALSE)</f>
        <v>28.571428571428569</v>
      </c>
      <c r="F24" s="87">
        <f>VLOOKUP(A24,Grades!$A$5:$AL$48,16,FALSE)</f>
        <v>88</v>
      </c>
      <c r="G24" s="87">
        <f>VLOOKUP(A24,Grades!$A$5:$AL$48,17,FALSE)</f>
        <v>57</v>
      </c>
      <c r="H24" s="87">
        <f>VLOOKUP(A24,Grades!$A$5:$AL$48,18,FALSE)</f>
        <v>50</v>
      </c>
      <c r="I24" s="87">
        <f>VLOOKUP(A24,Grades!$A$5:$AL$48,20,FALSE)</f>
        <v>0</v>
      </c>
      <c r="J24" s="111">
        <f>VLOOKUP(A24,Grades!$A$5:$AL$48,15,FALSE)</f>
        <v>53.321428571428569</v>
      </c>
      <c r="K24" s="90">
        <f>IF(J24&lt;=50,J24,SUM(D24*0.1,E24*0.1,F24*0.07,G24*0.07,H24*0.07,I24*0.09,J24*0.5))</f>
        <v>46.567857142857143</v>
      </c>
    </row>
    <row r="25" spans="1:11" ht="15" x14ac:dyDescent="0.2">
      <c r="A25" s="104" t="s">
        <v>82</v>
      </c>
      <c r="B25" s="33" t="s">
        <v>83</v>
      </c>
      <c r="C25" s="33" t="s">
        <v>84</v>
      </c>
      <c r="D25" s="108">
        <f>VLOOKUP(A25,Grades!$A$5:$AL$48,21,FALSE)</f>
        <v>98</v>
      </c>
      <c r="E25" s="109">
        <f>VLOOKUP(A25,Grades!$A$5:$AL$48,38,FALSE)</f>
        <v>128.57142857142858</v>
      </c>
      <c r="F25" s="87">
        <f>VLOOKUP(A25,Grades!$A$5:$AL$48,16,FALSE)</f>
        <v>97</v>
      </c>
      <c r="G25" s="87">
        <f>VLOOKUP(A25,Grades!$A$5:$AL$48,17,FALSE)</f>
        <v>98</v>
      </c>
      <c r="H25" s="87">
        <f>VLOOKUP(A25,Grades!$A$5:$AL$48,18,FALSE)</f>
        <v>94</v>
      </c>
      <c r="I25" s="87">
        <f>VLOOKUP(A25,Grades!$A$5:$AL$48,20,FALSE)</f>
        <v>100</v>
      </c>
      <c r="J25" s="111">
        <f>VLOOKUP(A25,Grades!$A$5:$AL$48,15,FALSE)</f>
        <v>87.464285714285722</v>
      </c>
      <c r="K25" s="90">
        <f>IF(J25&lt;=50,J25,SUM(D25*0.1,E25*0.1,F25*0.07,G25*0.07,H25*0.07,I25*0.09,J25*0.5))</f>
        <v>95.619285714285724</v>
      </c>
    </row>
    <row r="26" spans="1:11" ht="15" x14ac:dyDescent="0.2">
      <c r="A26" s="104" t="s">
        <v>85</v>
      </c>
      <c r="B26" s="33" t="s">
        <v>86</v>
      </c>
      <c r="C26" s="33" t="s">
        <v>87</v>
      </c>
      <c r="D26" s="108">
        <f>VLOOKUP(A26,Grades!$A$5:$AL$48,21,FALSE)</f>
        <v>73</v>
      </c>
      <c r="E26" s="109">
        <f>VLOOKUP(A26,Grades!$A$5:$AL$48,38,FALSE)</f>
        <v>85.714285714285708</v>
      </c>
      <c r="F26" s="87">
        <f>VLOOKUP(A26,Grades!$A$5:$AL$48,16,FALSE)</f>
        <v>100</v>
      </c>
      <c r="G26" s="87">
        <f>VLOOKUP(A26,Grades!$A$5:$AL$48,17,FALSE)</f>
        <v>77</v>
      </c>
      <c r="H26" s="87">
        <f>VLOOKUP(A26,Grades!$A$5:$AL$48,18,FALSE)</f>
        <v>90</v>
      </c>
      <c r="I26" s="87">
        <f>VLOOKUP(A26,Grades!$A$5:$AL$48,20,FALSE)</f>
        <v>100</v>
      </c>
      <c r="J26" s="111">
        <f>VLOOKUP(A26,Grades!$A$5:$AL$48,15,FALSE)</f>
        <v>79.875</v>
      </c>
      <c r="K26" s="90">
        <f>IF(J26&lt;=50,J26,SUM(D26*0.1,E26*0.1,F26*0.07,G26*0.07,H26*0.07,I26*0.09,J26*0.5))</f>
        <v>83.498928571428578</v>
      </c>
    </row>
    <row r="27" spans="1:11" ht="15" x14ac:dyDescent="0.2">
      <c r="A27" s="106" t="s">
        <v>88</v>
      </c>
      <c r="B27" s="91" t="s">
        <v>89</v>
      </c>
      <c r="C27" s="91" t="s">
        <v>90</v>
      </c>
      <c r="D27" s="108">
        <f>VLOOKUP(A27,Grades!$A$5:$AL$48,21,FALSE)</f>
        <v>1</v>
      </c>
      <c r="E27" s="109">
        <f>VLOOKUP(A27,Grades!$A$5:$AL$48,38,FALSE)</f>
        <v>0</v>
      </c>
      <c r="F27" s="87">
        <f>VLOOKUP(A27,Grades!$A$5:$AL$48,16,FALSE)</f>
        <v>0</v>
      </c>
      <c r="G27" s="87">
        <f>VLOOKUP(A27,Grades!$A$5:$AL$48,17,FALSE)</f>
        <v>0</v>
      </c>
      <c r="H27" s="87">
        <f>VLOOKUP(A27,Grades!$A$5:$AL$48,18,FALSE)</f>
        <v>0</v>
      </c>
      <c r="I27" s="87">
        <f>VLOOKUP(A27,Grades!$A$5:$AL$48,20,FALSE)</f>
        <v>0</v>
      </c>
      <c r="J27" s="111">
        <f>VLOOKUP(A27,Grades!$A$5:$AL$48,15,FALSE)</f>
        <v>0</v>
      </c>
      <c r="K27" s="90">
        <f>IF(J27&lt;=50,J27,SUM(D27*0.1,E27*0.1,F27*0.07,G27*0.07,H27*0.07,I27*0.09,J27*0.5))</f>
        <v>0</v>
      </c>
    </row>
    <row r="28" spans="1:11" ht="15" x14ac:dyDescent="0.2">
      <c r="A28" s="104" t="s">
        <v>91</v>
      </c>
      <c r="B28" s="33" t="s">
        <v>92</v>
      </c>
      <c r="C28" s="33" t="s">
        <v>93</v>
      </c>
      <c r="D28" s="108">
        <f>VLOOKUP(A28,Grades!$A$5:$AL$48,21,FALSE)</f>
        <v>91</v>
      </c>
      <c r="E28" s="109">
        <f>VLOOKUP(A28,Grades!$A$5:$AL$48,38,FALSE)</f>
        <v>92.857142857142861</v>
      </c>
      <c r="F28" s="87">
        <f>VLOOKUP(A28,Grades!$A$5:$AL$48,16,FALSE)</f>
        <v>100</v>
      </c>
      <c r="G28" s="87">
        <f>VLOOKUP(A28,Grades!$A$5:$AL$48,17,FALSE)</f>
        <v>100</v>
      </c>
      <c r="H28" s="87">
        <f>VLOOKUP(A28,Grades!$A$5:$AL$48,18,FALSE)</f>
        <v>95</v>
      </c>
      <c r="I28" s="87">
        <f>VLOOKUP(A28,Grades!$A$5:$AL$48,20,FALSE)</f>
        <v>50</v>
      </c>
      <c r="J28" s="111">
        <f>VLOOKUP(A28,Grades!$A$5:$AL$48,15,FALSE)</f>
        <v>87.75</v>
      </c>
      <c r="K28" s="90">
        <f>IF(J28&lt;=50,J28,SUM(D28*0.1,E28*0.1,F28*0.07,G28*0.07,H28*0.07,I28*0.09,J28*0.5))</f>
        <v>87.410714285714278</v>
      </c>
    </row>
    <row r="29" spans="1:11" ht="15" x14ac:dyDescent="0.2">
      <c r="A29" s="104" t="s">
        <v>94</v>
      </c>
      <c r="B29" s="33" t="s">
        <v>68</v>
      </c>
      <c r="C29" s="33" t="s">
        <v>95</v>
      </c>
      <c r="D29" s="108">
        <f>VLOOKUP(A29,Grades!$A$5:$AL$48,21,FALSE)</f>
        <v>97</v>
      </c>
      <c r="E29" s="109">
        <f>VLOOKUP(A29,Grades!$A$5:$AL$48,38,FALSE)</f>
        <v>64.285714285714292</v>
      </c>
      <c r="F29" s="87">
        <f>VLOOKUP(A29,Grades!$A$5:$AL$48,16,FALSE)</f>
        <v>78</v>
      </c>
      <c r="G29" s="87">
        <f>VLOOKUP(A29,Grades!$A$5:$AL$48,17,FALSE)</f>
        <v>41</v>
      </c>
      <c r="H29" s="88">
        <f>VLOOKUP(A29,Grades!$A$5:$AL$48,18,FALSE)</f>
        <v>24.75</v>
      </c>
      <c r="I29" s="87">
        <f>VLOOKUP(A29,Grades!$A$5:$AL$48,20,FALSE)</f>
        <v>100</v>
      </c>
      <c r="J29" s="111">
        <f>VLOOKUP(A29,Grades!$A$5:$AL$48,15,FALSE)</f>
        <v>47.375</v>
      </c>
      <c r="K29" s="90">
        <f>IF(J29&lt;=50,J29,SUM(D29*0.1,E29*0.1,F29*0.07,G29*0.07,H29*0.07,I29*0.09,J29*0.5))</f>
        <v>47.375</v>
      </c>
    </row>
    <row r="30" spans="1:11" ht="15" x14ac:dyDescent="0.2">
      <c r="A30" s="104" t="s">
        <v>96</v>
      </c>
      <c r="B30" s="33" t="s">
        <v>97</v>
      </c>
      <c r="C30" s="33" t="s">
        <v>98</v>
      </c>
      <c r="D30" s="108">
        <f>VLOOKUP(A30,Grades!$A$5:$AL$48,21,FALSE)</f>
        <v>69</v>
      </c>
      <c r="E30" s="109">
        <f>VLOOKUP(A30,Grades!$A$5:$AL$48,38,FALSE)</f>
        <v>64.285714285714292</v>
      </c>
      <c r="F30" s="87">
        <f>VLOOKUP(A30,Grades!$A$5:$AL$48,16,FALSE)</f>
        <v>95</v>
      </c>
      <c r="G30" s="87">
        <f>VLOOKUP(A30,Grades!$A$5:$AL$48,17,FALSE)</f>
        <v>97</v>
      </c>
      <c r="H30" s="87">
        <f>VLOOKUP(A30,Grades!$A$5:$AL$48,18,FALSE)</f>
        <v>92</v>
      </c>
      <c r="I30" s="87">
        <f>VLOOKUP(A30,Grades!$A$5:$AL$48,20,FALSE)</f>
        <v>0</v>
      </c>
      <c r="J30" s="111">
        <f>VLOOKUP(A30,Grades!$A$5:$AL$48,15,FALSE)</f>
        <v>68.910714285714278</v>
      </c>
      <c r="K30" s="90">
        <f>IF(J30&lt;=50,J30,SUM(D30*0.1,E30*0.1,F30*0.07,G30*0.07,H30*0.07,I30*0.09,J30*0.5))</f>
        <v>67.663928571428556</v>
      </c>
    </row>
    <row r="31" spans="1:11" ht="15" x14ac:dyDescent="0.2">
      <c r="A31" s="104" t="s">
        <v>99</v>
      </c>
      <c r="B31" s="33" t="s">
        <v>100</v>
      </c>
      <c r="C31" s="33" t="s">
        <v>101</v>
      </c>
      <c r="D31" s="108">
        <f>VLOOKUP(A31,Grades!$A$5:$AL$48,21,FALSE)</f>
        <v>20</v>
      </c>
      <c r="E31" s="109">
        <f>VLOOKUP(A31,Grades!$A$5:$AL$48,38,FALSE)</f>
        <v>78.571428571428569</v>
      </c>
      <c r="F31" s="87">
        <f>VLOOKUP(A31,Grades!$A$5:$AL$48,16,FALSE)</f>
        <v>66</v>
      </c>
      <c r="G31" s="87">
        <f>VLOOKUP(A31,Grades!$A$5:$AL$48,17,FALSE)</f>
        <v>91</v>
      </c>
      <c r="H31" s="87">
        <f>VLOOKUP(A31,Grades!$A$5:$AL$48,18,FALSE)</f>
        <v>91</v>
      </c>
      <c r="I31" s="87">
        <f>VLOOKUP(A31,Grades!$A$5:$AL$48,20,FALSE)</f>
        <v>100</v>
      </c>
      <c r="J31" s="111">
        <f>VLOOKUP(A31,Grades!$A$5:$AL$48,15,FALSE)</f>
        <v>66.089285714285722</v>
      </c>
      <c r="K31" s="90">
        <f>IF(J31&lt;=50,J31,SUM(D31*0.1,E31*0.1,F31*0.07,G31*0.07,H31*0.07,I31*0.09,J31*0.5))</f>
        <v>69.261785714285722</v>
      </c>
    </row>
    <row r="32" spans="1:11" ht="15" x14ac:dyDescent="0.2">
      <c r="A32" s="104" t="s">
        <v>102</v>
      </c>
      <c r="B32" s="33" t="s">
        <v>103</v>
      </c>
      <c r="C32" s="33" t="s">
        <v>104</v>
      </c>
      <c r="D32" s="108">
        <f>VLOOKUP(A32,Grades!$A$5:$AL$48,21,FALSE)</f>
        <v>94</v>
      </c>
      <c r="E32" s="109">
        <f>VLOOKUP(A32,Grades!$A$5:$AL$48,38,FALSE)</f>
        <v>64.285714285714292</v>
      </c>
      <c r="F32" s="87">
        <f>VLOOKUP(A32,Grades!$A$5:$AL$48,16,FALSE)</f>
        <v>78</v>
      </c>
      <c r="G32" s="87">
        <f>VLOOKUP(A32,Grades!$A$5:$AL$48,17,FALSE)</f>
        <v>41</v>
      </c>
      <c r="H32" s="87">
        <f>VLOOKUP(A32,Grades!$A$5:$AL$48,18,FALSE)</f>
        <v>100</v>
      </c>
      <c r="I32" s="87">
        <f>VLOOKUP(A32,Grades!$A$5:$AL$48,20,FALSE)</f>
        <v>100</v>
      </c>
      <c r="J32" s="111">
        <f>VLOOKUP(A32,Grades!$A$5:$AL$48,15,FALSE)</f>
        <v>77.803571428571431</v>
      </c>
      <c r="K32" s="90">
        <f>IF(J32&lt;=50,J32,SUM(D32*0.1,E32*0.1,F32*0.07,G32*0.07,H32*0.07,I32*0.09,J32*0.5))</f>
        <v>79.060357142857157</v>
      </c>
    </row>
    <row r="33" spans="1:13" ht="15" x14ac:dyDescent="0.2">
      <c r="A33" s="104" t="s">
        <v>105</v>
      </c>
      <c r="B33" s="33" t="s">
        <v>106</v>
      </c>
      <c r="C33" s="33" t="s">
        <v>104</v>
      </c>
      <c r="D33" s="108">
        <f>VLOOKUP(A33,Grades!$A$5:$AL$48,21,FALSE)</f>
        <v>90</v>
      </c>
      <c r="E33" s="109">
        <f>VLOOKUP(A33,Grades!$A$5:$AL$48,38,FALSE)</f>
        <v>78.571428571428569</v>
      </c>
      <c r="F33" s="87">
        <f>VLOOKUP(A33,Grades!$A$5:$AL$48,16,FALSE)</f>
        <v>97</v>
      </c>
      <c r="G33" s="87">
        <f>VLOOKUP(A33,Grades!$A$5:$AL$48,17,FALSE)</f>
        <v>98</v>
      </c>
      <c r="H33" s="87">
        <f>VLOOKUP(A33,Grades!$A$5:$AL$48,18,FALSE)</f>
        <v>94</v>
      </c>
      <c r="I33" s="87">
        <f>VLOOKUP(A33,Grades!$A$5:$AL$48,20,FALSE)</f>
        <v>100</v>
      </c>
      <c r="J33" s="111">
        <f>VLOOKUP(A33,Grades!$A$5:$AL$48,15,FALSE)</f>
        <v>92.696428571428569</v>
      </c>
      <c r="K33" s="90">
        <f>IF(J33&lt;=50,J33,SUM(D33*0.1,E33*0.1,F33*0.07,G33*0.07,H33*0.07,I33*0.09,J33*0.5))</f>
        <v>92.435357142857143</v>
      </c>
    </row>
    <row r="34" spans="1:13" ht="15" x14ac:dyDescent="0.2">
      <c r="A34" s="104" t="s">
        <v>107</v>
      </c>
      <c r="B34" s="33" t="s">
        <v>108</v>
      </c>
      <c r="C34" s="33" t="s">
        <v>109</v>
      </c>
      <c r="D34" s="108">
        <f>VLOOKUP(A34,Grades!$A$5:$AL$48,21,FALSE)</f>
        <v>92</v>
      </c>
      <c r="E34" s="109">
        <f>VLOOKUP(A34,Grades!$A$5:$AL$48,38,FALSE)</f>
        <v>128.57142857142858</v>
      </c>
      <c r="F34" s="87">
        <f>VLOOKUP(A34,Grades!$A$5:$AL$48,16,FALSE)</f>
        <v>100</v>
      </c>
      <c r="G34" s="87">
        <f>VLOOKUP(A34,Grades!$A$5:$AL$48,17,FALSE)</f>
        <v>100</v>
      </c>
      <c r="H34" s="87">
        <f>VLOOKUP(A34,Grades!$A$5:$AL$48,18,FALSE)</f>
        <v>99</v>
      </c>
      <c r="I34" s="87">
        <f>VLOOKUP(A34,Grades!$A$5:$AL$48,20,FALSE)</f>
        <v>100</v>
      </c>
      <c r="J34" s="111">
        <f>VLOOKUP(A34,Grades!$A$5:$AL$48,15,FALSE)</f>
        <v>93.107142857142861</v>
      </c>
      <c r="K34" s="90">
        <f>IF(J34&lt;=50,J34,SUM(D34*0.1,E34*0.1,F34*0.07,G34*0.07,H34*0.07,I34*0.09,J34*0.5))</f>
        <v>98.540714285714301</v>
      </c>
    </row>
    <row r="35" spans="1:13" ht="12" customHeight="1" x14ac:dyDescent="0.2">
      <c r="A35" s="104" t="s">
        <v>110</v>
      </c>
      <c r="B35" s="33" t="s">
        <v>111</v>
      </c>
      <c r="C35" s="33" t="s">
        <v>112</v>
      </c>
      <c r="D35" s="108">
        <f>VLOOKUP(A35,Grades!$A$5:$AL$48,21,FALSE)</f>
        <v>78</v>
      </c>
      <c r="E35" s="109">
        <f>VLOOKUP(A35,Grades!$A$5:$AL$48,38,FALSE)</f>
        <v>71.428571428571431</v>
      </c>
      <c r="F35" s="87">
        <f>VLOOKUP(A35,Grades!$A$5:$AL$48,16,FALSE)</f>
        <v>81</v>
      </c>
      <c r="G35" s="87">
        <f>VLOOKUP(A35,Grades!$A$5:$AL$48,17,FALSE)</f>
        <v>82</v>
      </c>
      <c r="H35" s="87">
        <f>VLOOKUP(A35,Grades!$A$5:$AL$48,18,FALSE)</f>
        <v>95</v>
      </c>
      <c r="I35" s="87">
        <f>VLOOKUP(A35,Grades!$A$5:$AL$48,20,FALSE)</f>
        <v>50</v>
      </c>
      <c r="J35" s="111">
        <f>VLOOKUP(A35,Grades!$A$5:$AL$48,15,FALSE)</f>
        <v>79.410714285714278</v>
      </c>
      <c r="K35" s="90">
        <f>IF(J35&lt;=50,J35,SUM(D35*0.1,E35*0.1,F35*0.07,G35*0.07,H35*0.07,I35*0.09,J35*0.5))</f>
        <v>77.208214285714291</v>
      </c>
    </row>
    <row r="36" spans="1:13" s="92" customFormat="1" ht="15" x14ac:dyDescent="0.2">
      <c r="A36" s="105" t="s">
        <v>113</v>
      </c>
      <c r="B36" s="33" t="s">
        <v>68</v>
      </c>
      <c r="C36" s="33" t="s">
        <v>114</v>
      </c>
      <c r="D36" s="108">
        <f>VLOOKUP(A36,Grades!$A$5:$AL$48,21,FALSE)</f>
        <v>97</v>
      </c>
      <c r="E36" s="109">
        <f>VLOOKUP(A36,Grades!$A$5:$AL$48,38,FALSE)</f>
        <v>50</v>
      </c>
      <c r="F36" s="87">
        <f>VLOOKUP(A36,Grades!$A$5:$AL$48,16,FALSE)</f>
        <v>70</v>
      </c>
      <c r="G36" s="87">
        <f>VLOOKUP(A36,Grades!$A$5:$AL$48,17,FALSE)</f>
        <v>71</v>
      </c>
      <c r="H36" s="87">
        <f>VLOOKUP(A36,Grades!$A$5:$AL$48,18,FALSE)</f>
        <v>74</v>
      </c>
      <c r="I36" s="100">
        <f>VLOOKUP(A36,Grades!$A$5:$AL$48,20,FALSE)</f>
        <v>100</v>
      </c>
      <c r="J36" s="111">
        <f>VLOOKUP(A36,Grades!$A$5:$AL$48,15,FALSE)</f>
        <v>72.714285714285722</v>
      </c>
      <c r="K36" s="90">
        <f>IF(J36&lt;=50,J36,SUM(D36*0.1,E36*0.1,F36*0.07,G36*0.07,H36*0.07,I36*0.09,J36*0.5))</f>
        <v>75.107142857142861</v>
      </c>
      <c r="M36"/>
    </row>
    <row r="37" spans="1:13" ht="15" x14ac:dyDescent="0.2">
      <c r="A37" s="104" t="s">
        <v>115</v>
      </c>
      <c r="B37" s="33" t="s">
        <v>116</v>
      </c>
      <c r="C37" s="33" t="s">
        <v>117</v>
      </c>
      <c r="D37" s="108">
        <f>VLOOKUP(A37,Grades!$A$5:$AL$48,21,FALSE)</f>
        <v>97</v>
      </c>
      <c r="E37" s="109">
        <f>VLOOKUP(A37,Grades!$A$5:$AL$48,38,FALSE)</f>
        <v>85.714285714285708</v>
      </c>
      <c r="F37" s="87">
        <f>VLOOKUP(A37,Grades!$A$5:$AL$48,16,FALSE)</f>
        <v>95</v>
      </c>
      <c r="G37" s="87">
        <f>VLOOKUP(A37,Grades!$A$5:$AL$48,17,FALSE)</f>
        <v>97</v>
      </c>
      <c r="H37" s="87">
        <f>VLOOKUP(A37,Grades!$A$5:$AL$48,18,FALSE)</f>
        <v>92</v>
      </c>
      <c r="I37" s="87">
        <f>VLOOKUP(A37,Grades!$A$5:$AL$48,20,FALSE)</f>
        <v>100</v>
      </c>
      <c r="J37" s="111">
        <f>VLOOKUP(A37,Grades!$A$5:$AL$48,15,FALSE)</f>
        <v>78.607142857142861</v>
      </c>
      <c r="K37" s="90">
        <f>IF(J37&lt;=50,J37,SUM(D37*0.1,E37*0.1,F37*0.07,G37*0.07,H37*0.07,I37*0.09,J37*0.5))</f>
        <v>86.454999999999998</v>
      </c>
    </row>
    <row r="38" spans="1:13" ht="15" x14ac:dyDescent="0.2">
      <c r="A38" s="107">
        <v>300290378</v>
      </c>
      <c r="B38" s="35" t="s">
        <v>152</v>
      </c>
      <c r="C38" s="33" t="s">
        <v>155</v>
      </c>
      <c r="D38" s="108">
        <f>VLOOKUP(A38,Grades!$A$5:$AL$48,21,FALSE)</f>
        <v>92</v>
      </c>
      <c r="E38" s="109">
        <f>VLOOKUP(A38,Grades!$A$5:$AL$48,38,FALSE)</f>
        <v>85.714285714285708</v>
      </c>
      <c r="F38" s="87">
        <f>VLOOKUP(A38,Grades!$A$5:$AL$48,16,FALSE)</f>
        <v>95</v>
      </c>
      <c r="G38" s="87">
        <f>VLOOKUP(A38,Grades!$A$5:$AL$48,17,FALSE)</f>
        <v>85</v>
      </c>
      <c r="H38" s="87">
        <f>VLOOKUP(A38,Grades!$A$5:$AL$48,18,FALSE)</f>
        <v>100</v>
      </c>
      <c r="I38" s="87">
        <f>VLOOKUP(A38,Grades!$A$5:$AL$48,20,FALSE)</f>
        <v>100</v>
      </c>
      <c r="J38" s="111">
        <f>VLOOKUP(A38,Grades!$A$5:$AL$48,15,FALSE)</f>
        <v>87.875</v>
      </c>
      <c r="K38" s="90">
        <f>IF(J38&lt;=50,J38,SUM(D38*0.1,E38*0.1,F38*0.07,G38*0.07,H38*0.07,I38*0.09,J38*0.5))</f>
        <v>90.308928571428567</v>
      </c>
    </row>
    <row r="39" spans="1:13" ht="15" x14ac:dyDescent="0.2">
      <c r="A39" s="104" t="s">
        <v>118</v>
      </c>
      <c r="B39" s="33" t="s">
        <v>119</v>
      </c>
      <c r="C39" s="33" t="s">
        <v>120</v>
      </c>
      <c r="D39" s="108">
        <f>VLOOKUP(A39,Grades!$A$5:$AL$48,21,FALSE)</f>
        <v>99</v>
      </c>
      <c r="E39" s="109">
        <f>VLOOKUP(A39,Grades!$A$5:$AL$48,38,FALSE)</f>
        <v>64.285714285714292</v>
      </c>
      <c r="F39" s="87">
        <f>VLOOKUP(A39,Grades!$A$5:$AL$48,16,FALSE)</f>
        <v>68</v>
      </c>
      <c r="G39" s="87">
        <f>VLOOKUP(A39,Grades!$A$5:$AL$48,17,FALSE)</f>
        <v>58</v>
      </c>
      <c r="H39" s="87">
        <f>VLOOKUP(A39,Grades!$A$5:$AL$48,18,FALSE)</f>
        <v>82</v>
      </c>
      <c r="I39" s="87">
        <f>VLOOKUP(A39,Grades!$A$5:$AL$48,20,FALSE)</f>
        <v>100</v>
      </c>
      <c r="J39" s="111">
        <f>VLOOKUP(A39,Grades!$A$5:$AL$48,15,FALSE)</f>
        <v>40.803571428571431</v>
      </c>
      <c r="K39" s="90">
        <f>IF(J39&lt;=50,J39,SUM(D39*0.1,E39*0.1,F39*0.07,G39*0.07,H39*0.07,I39*0.09,J39*0.5))</f>
        <v>40.803571428571431</v>
      </c>
    </row>
    <row r="40" spans="1:13" ht="15" x14ac:dyDescent="0.2">
      <c r="A40" s="106" t="s">
        <v>121</v>
      </c>
      <c r="B40" s="91" t="s">
        <v>122</v>
      </c>
      <c r="C40" s="91" t="s">
        <v>123</v>
      </c>
      <c r="D40" s="108">
        <f>VLOOKUP(A40,Grades!$A$5:$AL$48,21,FALSE)</f>
        <v>0</v>
      </c>
      <c r="E40" s="109">
        <f>VLOOKUP(A40,Grades!$A$5:$AL$48,38,FALSE)</f>
        <v>0</v>
      </c>
      <c r="F40" s="87">
        <f>VLOOKUP(A40,Grades!$A$5:$AL$48,16,FALSE)</f>
        <v>0</v>
      </c>
      <c r="G40" s="87">
        <f>VLOOKUP(A40,Grades!$A$5:$AL$48,17,FALSE)</f>
        <v>0</v>
      </c>
      <c r="H40" s="87">
        <f>VLOOKUP(A40,Grades!$A$5:$AL$48,18,FALSE)</f>
        <v>0</v>
      </c>
      <c r="I40" s="87">
        <f>VLOOKUP(A40,Grades!$A$5:$AL$48,20,FALSE)</f>
        <v>0</v>
      </c>
      <c r="J40" s="111">
        <f>VLOOKUP(A40,Grades!$A$5:$AL$48,15,FALSE)</f>
        <v>0</v>
      </c>
      <c r="K40" s="90">
        <f>IF(J40&lt;=50,J40,SUM(D40*0.1,E40*0.1,F40*0.07,G40*0.07,H40*0.07,I40*0.09,J40*0.5))</f>
        <v>0</v>
      </c>
    </row>
    <row r="41" spans="1:13" ht="15" x14ac:dyDescent="0.2">
      <c r="A41" s="104" t="s">
        <v>124</v>
      </c>
      <c r="B41" s="33" t="s">
        <v>125</v>
      </c>
      <c r="C41" s="33" t="s">
        <v>126</v>
      </c>
      <c r="D41" s="108">
        <f>VLOOKUP(A41,Grades!$A$5:$AL$48,21,FALSE)</f>
        <v>73</v>
      </c>
      <c r="E41" s="109">
        <f>VLOOKUP(A41,Grades!$A$5:$AL$48,38,FALSE)</f>
        <v>57.142857142857139</v>
      </c>
      <c r="F41" s="87">
        <f>VLOOKUP(A41,Grades!$A$5:$AL$48,16,FALSE)</f>
        <v>95</v>
      </c>
      <c r="G41" s="87">
        <f>VLOOKUP(A41,Grades!$A$5:$AL$48,17,FALSE)</f>
        <v>85</v>
      </c>
      <c r="H41" s="87">
        <f>VLOOKUP(A41,Grades!$A$5:$AL$48,18,FALSE)</f>
        <v>100</v>
      </c>
      <c r="I41" s="87">
        <f>VLOOKUP(A41,Grades!$A$5:$AL$48,20,FALSE)</f>
        <v>100</v>
      </c>
      <c r="J41" s="111">
        <f>VLOOKUP(A41,Grades!$A$5:$AL$48,15,FALSE)</f>
        <v>57.25</v>
      </c>
      <c r="K41" s="90">
        <f>IF(J41&lt;=50,J41,SUM(D41*0.1,E41*0.1,F41*0.07,G41*0.07,H41*0.07,I41*0.09,J41*0.5))</f>
        <v>70.239285714285728</v>
      </c>
    </row>
    <row r="42" spans="1:13" ht="15" x14ac:dyDescent="0.2">
      <c r="A42" s="104" t="s">
        <v>127</v>
      </c>
      <c r="B42" s="33" t="s">
        <v>128</v>
      </c>
      <c r="C42" s="33" t="s">
        <v>129</v>
      </c>
      <c r="D42" s="108">
        <f>VLOOKUP(A42,Grades!$A$5:$AL$48,21,FALSE)</f>
        <v>87</v>
      </c>
      <c r="E42" s="109">
        <f>VLOOKUP(A42,Grades!$A$5:$AL$48,38,FALSE)</f>
        <v>71.428571428571431</v>
      </c>
      <c r="F42" s="87">
        <f>VLOOKUP(A42,Grades!$A$5:$AL$48,16,FALSE)</f>
        <v>100</v>
      </c>
      <c r="G42" s="87">
        <f>VLOOKUP(A42,Grades!$A$5:$AL$48,17,FALSE)</f>
        <v>99</v>
      </c>
      <c r="H42" s="87">
        <f>VLOOKUP(A42,Grades!$A$5:$AL$48,18,FALSE)</f>
        <v>99</v>
      </c>
      <c r="I42" s="87">
        <f>VLOOKUP(A42,Grades!$A$5:$AL$48,20,FALSE)</f>
        <v>100</v>
      </c>
      <c r="J42" s="111">
        <f>VLOOKUP(A42,Grades!$A$5:$AL$48,15,FALSE)</f>
        <v>77.785714285714278</v>
      </c>
      <c r="K42" s="90">
        <f>IF(J42&lt;=50,J42,SUM(D42*0.1,E42*0.1,F42*0.07,G42*0.07,H42*0.07,I42*0.09,J42*0.5))</f>
        <v>84.59571428571428</v>
      </c>
    </row>
    <row r="43" spans="1:13" ht="15" x14ac:dyDescent="0.2">
      <c r="A43" s="104" t="s">
        <v>130</v>
      </c>
      <c r="B43" s="33" t="s">
        <v>131</v>
      </c>
      <c r="C43" s="33" t="s">
        <v>132</v>
      </c>
      <c r="D43" s="108">
        <f>VLOOKUP(A43,Grades!$A$5:$AL$48,21,FALSE)</f>
        <v>63</v>
      </c>
      <c r="E43" s="109">
        <f>VLOOKUP(A43,Grades!$A$5:$AL$48,38,FALSE)</f>
        <v>57.142857142857139</v>
      </c>
      <c r="F43" s="87">
        <f>VLOOKUP(A43,Grades!$A$5:$AL$48,16,FALSE)</f>
        <v>82</v>
      </c>
      <c r="G43" s="87">
        <f>VLOOKUP(A43,Grades!$A$5:$AL$48,17,FALSE)</f>
        <v>86</v>
      </c>
      <c r="H43" s="87">
        <f>VLOOKUP(A43,Grades!$A$5:$AL$48,18,FALSE)</f>
        <v>88</v>
      </c>
      <c r="I43" s="87">
        <f>VLOOKUP(A43,Grades!$A$5:$AL$48,20,FALSE)</f>
        <v>100</v>
      </c>
      <c r="J43" s="111">
        <f>VLOOKUP(A43,Grades!$A$5:$AL$48,15,FALSE)</f>
        <v>55.017857142857139</v>
      </c>
      <c r="K43" s="90">
        <f>IF(J43&lt;=50,J43,SUM(D43*0.1,E43*0.1,F43*0.07,G43*0.07,H43*0.07,I43*0.09,J43*0.5))</f>
        <v>66.443214285714276</v>
      </c>
    </row>
    <row r="44" spans="1:13" ht="15" x14ac:dyDescent="0.2">
      <c r="A44" s="104" t="s">
        <v>135</v>
      </c>
      <c r="B44" s="33" t="s">
        <v>136</v>
      </c>
      <c r="C44" s="33" t="s">
        <v>137</v>
      </c>
      <c r="D44" s="108">
        <f>VLOOKUP(A44,Grades!$A$5:$AL$48,21,FALSE)</f>
        <v>97</v>
      </c>
      <c r="E44" s="109">
        <f>VLOOKUP(A44,Grades!$A$5:$AL$48,38,FALSE)</f>
        <v>114.28571428571428</v>
      </c>
      <c r="F44" s="87">
        <f>VLOOKUP(A44,Grades!$A$5:$AL$48,16,FALSE)</f>
        <v>68</v>
      </c>
      <c r="G44" s="87">
        <f>VLOOKUP(A44,Grades!$A$5:$AL$48,17,FALSE)</f>
        <v>58</v>
      </c>
      <c r="H44" s="87">
        <f>VLOOKUP(A44,Grades!$A$5:$AL$48,18,FALSE)</f>
        <v>82</v>
      </c>
      <c r="I44" s="87">
        <f>VLOOKUP(A44,Grades!$A$5:$AL$48,20,FALSE)</f>
        <v>100</v>
      </c>
      <c r="J44" s="111">
        <f>VLOOKUP(A44,Grades!$A$5:$AL$48,15,FALSE)</f>
        <v>51</v>
      </c>
      <c r="K44" s="90">
        <f>IF(J44&lt;=50,J44,SUM(D44*0.1,E44*0.1,F44*0.07,G44*0.07,H44*0.07,I44*0.09,J44*0.5))</f>
        <v>70.188571428571436</v>
      </c>
    </row>
    <row r="45" spans="1:13" ht="15" x14ac:dyDescent="0.2">
      <c r="A45" s="104" t="s">
        <v>138</v>
      </c>
      <c r="B45" s="33" t="s">
        <v>71</v>
      </c>
      <c r="C45" s="33" t="s">
        <v>137</v>
      </c>
      <c r="D45" s="108">
        <f>VLOOKUP(A45,Grades!$A$5:$AL$48,21,FALSE)</f>
        <v>98</v>
      </c>
      <c r="E45" s="109">
        <f>VLOOKUP(A45,Grades!$A$5:$AL$48,38,FALSE)</f>
        <v>57.142857142857139</v>
      </c>
      <c r="F45" s="87">
        <f>VLOOKUP(A45,Grades!$A$5:$AL$48,16,FALSE)</f>
        <v>51</v>
      </c>
      <c r="G45" s="87">
        <f>VLOOKUP(A45,Grades!$A$5:$AL$48,17,FALSE)</f>
        <v>87</v>
      </c>
      <c r="H45" s="87">
        <f>VLOOKUP(A45,Grades!$A$5:$AL$48,18,FALSE)</f>
        <v>81</v>
      </c>
      <c r="I45" s="87">
        <f>VLOOKUP(A45,Grades!$A$5:$AL$48,20,FALSE)</f>
        <v>100</v>
      </c>
      <c r="J45" s="111">
        <f>VLOOKUP(A45,Grades!$A$5:$AL$48,15,FALSE)</f>
        <v>52</v>
      </c>
      <c r="K45" s="90">
        <f>IF(J45&lt;=50,J45,SUM(D45*0.1,E45*0.1,F45*0.07,G45*0.07,H45*0.07,I45*0.09,J45*0.5))</f>
        <v>65.844285714285718</v>
      </c>
    </row>
    <row r="46" spans="1:13" ht="15" x14ac:dyDescent="0.2">
      <c r="A46" s="104" t="s">
        <v>141</v>
      </c>
      <c r="B46" s="33" t="s">
        <v>142</v>
      </c>
      <c r="C46" s="33" t="s">
        <v>143</v>
      </c>
      <c r="D46" s="108">
        <f>VLOOKUP(A46,Grades!$A$5:$AL$48,21,FALSE)</f>
        <v>49</v>
      </c>
      <c r="E46" s="109">
        <f>VLOOKUP(A46,Grades!$A$5:$AL$48,38,FALSE)</f>
        <v>50</v>
      </c>
      <c r="F46" s="87">
        <f>VLOOKUP(A46,Grades!$A$5:$AL$48,16,FALSE)</f>
        <v>50</v>
      </c>
      <c r="G46" s="87">
        <f>VLOOKUP(A46,Grades!$A$5:$AL$48,17,FALSE)</f>
        <v>85</v>
      </c>
      <c r="H46" s="87">
        <f>VLOOKUP(A46,Grades!$A$5:$AL$48,18,FALSE)</f>
        <v>79</v>
      </c>
      <c r="I46" s="100">
        <f>VLOOKUP(A46,Grades!$A$5:$AL$48,20,FALSE)</f>
        <v>100</v>
      </c>
      <c r="J46" s="111">
        <f>VLOOKUP(A46,Grades!$A$5:$AL$48,15,FALSE)</f>
        <v>60.375</v>
      </c>
      <c r="K46" s="90">
        <f>IF(J46&lt;=50,J46,SUM(D46*0.1,E46*0.1,F46*0.07,G46*0.07,H46*0.07,I46*0.09,J46*0.5))</f>
        <v>64.067499999999995</v>
      </c>
    </row>
    <row r="47" spans="1:13" ht="15" x14ac:dyDescent="0.2">
      <c r="A47" s="104" t="s">
        <v>144</v>
      </c>
      <c r="B47" s="33" t="s">
        <v>145</v>
      </c>
      <c r="C47" s="33" t="s">
        <v>146</v>
      </c>
      <c r="D47" s="108">
        <f>VLOOKUP(A47,Grades!$A$5:$AL$48,21,FALSE)</f>
        <v>17</v>
      </c>
      <c r="E47" s="109">
        <f>VLOOKUP(A47,Grades!$A$5:$AL$48,38,FALSE)</f>
        <v>28.571428571428569</v>
      </c>
      <c r="F47" s="87">
        <f>VLOOKUP(A47,Grades!$A$5:$AL$48,16,FALSE)</f>
        <v>88</v>
      </c>
      <c r="G47" s="87">
        <f>VLOOKUP(A47,Grades!$A$5:$AL$48,17,FALSE)</f>
        <v>57</v>
      </c>
      <c r="H47" s="87">
        <f>VLOOKUP(A47,Grades!$A$5:$AL$48,18,FALSE)</f>
        <v>50</v>
      </c>
      <c r="I47" s="87">
        <f>VLOOKUP(A47,Grades!$A$5:$AL$48,20,FALSE)</f>
        <v>0</v>
      </c>
      <c r="J47" s="111">
        <f>VLOOKUP(A47,Grades!$A$5:$AL$48,15,FALSE)</f>
        <v>39.375</v>
      </c>
      <c r="K47" s="90">
        <f>IF(J47&lt;=50,J47,SUM(D47*0.1,E47*0.1,F47*0.07,G47*0.07,H47*0.07,I47*0.09,J47*0.5))</f>
        <v>39.375</v>
      </c>
    </row>
    <row r="48" spans="1:13" ht="15" x14ac:dyDescent="0.2">
      <c r="A48" s="104" t="s">
        <v>147</v>
      </c>
      <c r="B48" s="33" t="s">
        <v>148</v>
      </c>
      <c r="C48" s="33" t="s">
        <v>149</v>
      </c>
      <c r="D48" s="108">
        <f>VLOOKUP(A48,Grades!$A$5:$AL$48,21,FALSE)</f>
        <v>68</v>
      </c>
      <c r="E48" s="109">
        <f>VLOOKUP(A48,Grades!$A$5:$AL$48,38,FALSE)</f>
        <v>50</v>
      </c>
      <c r="F48" s="87">
        <f>VLOOKUP(A48,Grades!$A$5:$AL$48,16,FALSE)</f>
        <v>82</v>
      </c>
      <c r="G48" s="87">
        <f>VLOOKUP(A48,Grades!$A$5:$AL$48,17,FALSE)</f>
        <v>86</v>
      </c>
      <c r="H48" s="87">
        <f>VLOOKUP(A48,Grades!$A$5:$AL$48,18,FALSE)</f>
        <v>35.200000000000003</v>
      </c>
      <c r="I48" s="87">
        <f>VLOOKUP(A48,Grades!$A$5:$AL$48,20,FALSE)</f>
        <v>0</v>
      </c>
      <c r="J48" s="111">
        <f>VLOOKUP(A48,Grades!$A$5:$AL$48,15,FALSE)</f>
        <v>46.75</v>
      </c>
      <c r="K48" s="90">
        <f>IF(J48&lt;=50,J48,SUM(D48*0.1,E48*0.1,F48*0.07,G48*0.07,H48*0.07,I48*0.09,J48*0.5))</f>
        <v>46.75</v>
      </c>
    </row>
    <row r="49" spans="4:5" x14ac:dyDescent="0.2">
      <c r="D49" s="22"/>
      <c r="E49" s="22"/>
    </row>
    <row r="50" spans="4:5" x14ac:dyDescent="0.2">
      <c r="D50" s="22"/>
      <c r="E50" s="22"/>
    </row>
    <row r="51" spans="4:5" x14ac:dyDescent="0.2">
      <c r="D51" s="22"/>
      <c r="E51" s="22"/>
    </row>
    <row r="52" spans="4:5" x14ac:dyDescent="0.2">
      <c r="D52" s="22"/>
      <c r="E52" s="22"/>
    </row>
    <row r="53" spans="4:5" x14ac:dyDescent="0.2">
      <c r="D53" s="22"/>
      <c r="E53" s="22"/>
    </row>
    <row r="54" spans="4:5" x14ac:dyDescent="0.2">
      <c r="D54" s="22"/>
      <c r="E54" s="22"/>
    </row>
    <row r="55" spans="4:5" x14ac:dyDescent="0.2">
      <c r="D55" s="22"/>
      <c r="E55" s="22"/>
    </row>
    <row r="56" spans="4:5" x14ac:dyDescent="0.2">
      <c r="D56" s="22"/>
      <c r="E56" s="22"/>
    </row>
    <row r="57" spans="4:5" x14ac:dyDescent="0.2">
      <c r="D57" s="22"/>
      <c r="E57" s="22"/>
    </row>
    <row r="58" spans="4:5" x14ac:dyDescent="0.2">
      <c r="D58" s="22"/>
      <c r="E58" s="22"/>
    </row>
    <row r="59" spans="4:5" x14ac:dyDescent="0.2">
      <c r="D59" s="22"/>
      <c r="E59" s="22"/>
    </row>
  </sheetData>
  <autoFilter ref="A4:K48">
    <sortState ref="A5:K48">
      <sortCondition ref="C4:C48"/>
    </sortState>
  </autoFilter>
  <conditionalFormatting sqref="J4:J21 J23:J1048576">
    <cfRule type="cellIs" dxfId="16" priority="5" operator="lessThan">
      <formula>50</formula>
    </cfRule>
  </conditionalFormatting>
  <conditionalFormatting sqref="K1:K1048576">
    <cfRule type="cellIs" dxfId="15" priority="4" operator="lessThan">
      <formula>50</formula>
    </cfRule>
  </conditionalFormatting>
  <conditionalFormatting sqref="J22">
    <cfRule type="cellIs" dxfId="14" priority="2" operator="lessThan">
      <formula>50</formula>
    </cfRule>
  </conditionalFormatting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5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8" sqref="A28:XFD28"/>
    </sheetView>
  </sheetViews>
  <sheetFormatPr defaultRowHeight="12.75" x14ac:dyDescent="0.2"/>
  <cols>
    <col min="1" max="1" width="13.140625" style="64" customWidth="1"/>
    <col min="2" max="2" width="13.7109375" customWidth="1"/>
    <col min="3" max="3" width="17.42578125" customWidth="1"/>
    <col min="4" max="4" width="4.28515625" style="47" customWidth="1"/>
    <col min="5" max="5" width="6" customWidth="1"/>
    <col min="6" max="6" width="8" hidden="1" customWidth="1"/>
    <col min="7" max="7" width="8.42578125" hidden="1" customWidth="1"/>
    <col min="8" max="8" width="5.42578125" customWidth="1"/>
    <col min="9" max="12" width="4.85546875" customWidth="1"/>
    <col min="13" max="13" width="7.5703125" customWidth="1"/>
    <col min="14" max="14" width="6.7109375" customWidth="1"/>
    <col min="15" max="15" width="7.85546875" style="5" customWidth="1"/>
    <col min="16" max="18" width="6.28515625" customWidth="1"/>
    <col min="19" max="19" width="7.85546875" customWidth="1"/>
    <col min="20" max="20" width="6.28515625" customWidth="1"/>
    <col min="21" max="21" width="6.42578125" customWidth="1"/>
    <col min="22" max="22" width="7.85546875" customWidth="1"/>
    <col min="23" max="31" width="3.7109375" customWidth="1"/>
    <col min="32" max="32" width="5.5703125" customWidth="1"/>
    <col min="33" max="37" width="4.42578125" customWidth="1"/>
    <col min="38" max="38" width="7.7109375" customWidth="1"/>
    <col min="39" max="39" width="8.85546875" customWidth="1"/>
    <col min="40" max="40" width="8.7109375" customWidth="1"/>
  </cols>
  <sheetData>
    <row r="1" spans="1:39" ht="25.5" hidden="1" x14ac:dyDescent="0.35">
      <c r="B1" s="1" t="s">
        <v>25</v>
      </c>
      <c r="O1" s="114" t="s">
        <v>209</v>
      </c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1:39" ht="15" x14ac:dyDescent="0.2">
      <c r="B2" s="2" t="s">
        <v>26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</row>
    <row r="3" spans="1:39" ht="13.15" customHeight="1" x14ac:dyDescent="0.2">
      <c r="H3" s="113" t="s">
        <v>19</v>
      </c>
      <c r="I3" s="113"/>
      <c r="J3" s="113"/>
      <c r="K3" s="113"/>
      <c r="L3" s="113"/>
      <c r="M3" s="113"/>
      <c r="N3" s="12"/>
      <c r="O3" s="98"/>
      <c r="P3" s="112" t="s">
        <v>8</v>
      </c>
      <c r="Q3" s="112"/>
      <c r="R3" s="112"/>
      <c r="S3" s="112"/>
      <c r="T3" s="26"/>
      <c r="U3" s="84" t="s">
        <v>201</v>
      </c>
      <c r="V3" s="25"/>
      <c r="W3" s="83" t="s">
        <v>23</v>
      </c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29"/>
    </row>
    <row r="4" spans="1:39" s="3" customFormat="1" ht="31.9" customHeight="1" x14ac:dyDescent="0.2">
      <c r="A4" s="66" t="s">
        <v>27</v>
      </c>
      <c r="B4" s="3" t="s">
        <v>0</v>
      </c>
      <c r="C4" s="3" t="s">
        <v>1</v>
      </c>
      <c r="D4" s="56" t="s">
        <v>158</v>
      </c>
      <c r="E4" s="3" t="s">
        <v>10</v>
      </c>
      <c r="F4" s="3" t="s">
        <v>3</v>
      </c>
      <c r="G4" s="3" t="s">
        <v>4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38" t="s">
        <v>156</v>
      </c>
      <c r="N4" s="81" t="s">
        <v>13</v>
      </c>
      <c r="O4" s="6" t="s">
        <v>203</v>
      </c>
      <c r="P4" s="8" t="s">
        <v>5</v>
      </c>
      <c r="Q4" s="8" t="s">
        <v>6</v>
      </c>
      <c r="R4" s="8" t="s">
        <v>7</v>
      </c>
      <c r="S4" s="8" t="s">
        <v>9</v>
      </c>
      <c r="T4" s="8" t="s">
        <v>22</v>
      </c>
      <c r="U4" s="17" t="s">
        <v>200</v>
      </c>
      <c r="V4" s="28" t="s">
        <v>24</v>
      </c>
      <c r="W4" s="15">
        <v>1</v>
      </c>
      <c r="X4" s="16">
        <v>2</v>
      </c>
      <c r="Y4" s="15">
        <v>3</v>
      </c>
      <c r="Z4" s="16">
        <v>4</v>
      </c>
      <c r="AA4" s="15">
        <v>5</v>
      </c>
      <c r="AB4" s="16">
        <v>6</v>
      </c>
      <c r="AC4" s="56">
        <v>7</v>
      </c>
      <c r="AD4" s="16">
        <v>8</v>
      </c>
      <c r="AE4" s="15">
        <v>9</v>
      </c>
      <c r="AF4" s="27" t="s">
        <v>195</v>
      </c>
      <c r="AG4" s="15">
        <v>10</v>
      </c>
      <c r="AH4" s="15">
        <v>11</v>
      </c>
      <c r="AI4" s="15">
        <v>12</v>
      </c>
      <c r="AJ4" s="27">
        <v>13</v>
      </c>
      <c r="AK4" s="15" t="s">
        <v>22</v>
      </c>
      <c r="AL4" s="95" t="s">
        <v>204</v>
      </c>
      <c r="AM4" s="3" t="s">
        <v>184</v>
      </c>
    </row>
    <row r="5" spans="1:39" x14ac:dyDescent="0.2">
      <c r="A5" s="61" t="s">
        <v>85</v>
      </c>
      <c r="B5" s="33" t="s">
        <v>86</v>
      </c>
      <c r="C5" s="33" t="s">
        <v>87</v>
      </c>
      <c r="D5" s="43" t="str">
        <f>VLOOKUP(A5,GROUPINGS!$A$2:$D$46,4,FALSE)</f>
        <v>A</v>
      </c>
      <c r="E5" s="11" t="s">
        <v>11</v>
      </c>
      <c r="F5" s="19" t="e">
        <f>(N5/#REF!)*0.5+(S5/#REF!)*0.2+(T5/#REF!)*0.1+(U5/#REF!)*0.1+(SUM(V5/#REF!)*0.05+(AL5/#REF!)*0.05)</f>
        <v>#REF!</v>
      </c>
      <c r="G5" s="19" t="e">
        <f>F5/#REF!</f>
        <v>#REF!</v>
      </c>
      <c r="H5" s="5">
        <v>78</v>
      </c>
      <c r="I5" s="55">
        <v>60</v>
      </c>
      <c r="J5" s="5">
        <v>85</v>
      </c>
      <c r="K5" s="55">
        <f>VLOOKUP(A5,Table1[[student id]:[exam 4 %]],8,FALSE)</f>
        <v>60</v>
      </c>
      <c r="L5" s="5">
        <v>80</v>
      </c>
      <c r="M5" s="39">
        <v>84</v>
      </c>
      <c r="N5" s="94">
        <f>SUMPRODUCT(LARGE(H5:M5,{1,2,3,4,5}))/5</f>
        <v>77.400000000000006</v>
      </c>
      <c r="O5" s="93">
        <f>AVERAGE(SUMPRODUCT((LARGE(H5:L5,{1,2,3,4}))/4),M5)</f>
        <v>79.875</v>
      </c>
      <c r="P5" s="9">
        <v>100</v>
      </c>
      <c r="Q5" s="9">
        <v>77</v>
      </c>
      <c r="R5" s="9">
        <v>90</v>
      </c>
      <c r="S5" s="10">
        <f t="shared" ref="S5:S48" si="0">AVERAGE(P5:R5)</f>
        <v>89</v>
      </c>
      <c r="T5" s="9">
        <v>100</v>
      </c>
      <c r="U5" s="18">
        <v>73</v>
      </c>
      <c r="V5" s="85">
        <f t="shared" ref="V5:V48" si="1">SUM(W5:AK5)/14*100</f>
        <v>85.714285714285708</v>
      </c>
      <c r="W5" s="13">
        <v>1</v>
      </c>
      <c r="X5" s="14">
        <v>1</v>
      </c>
      <c r="Y5" s="13">
        <v>1</v>
      </c>
      <c r="Z5" s="14">
        <v>1</v>
      </c>
      <c r="AA5" s="13">
        <v>1</v>
      </c>
      <c r="AB5" s="14">
        <v>1</v>
      </c>
      <c r="AC5" s="13">
        <v>1</v>
      </c>
      <c r="AD5" s="34"/>
      <c r="AE5" s="13">
        <v>1</v>
      </c>
      <c r="AF5" s="31"/>
      <c r="AG5" s="13">
        <v>1</v>
      </c>
      <c r="AH5" s="13">
        <v>1</v>
      </c>
      <c r="AI5" s="13">
        <v>1</v>
      </c>
      <c r="AJ5" s="30">
        <v>1</v>
      </c>
      <c r="AK5" s="30"/>
      <c r="AL5" s="96">
        <f t="shared" ref="AL5:AL48" si="2">V5</f>
        <v>85.714285714285708</v>
      </c>
    </row>
    <row r="6" spans="1:39" ht="12" customHeight="1" x14ac:dyDescent="0.2">
      <c r="A6" s="61" t="s">
        <v>28</v>
      </c>
      <c r="B6" s="33" t="s">
        <v>29</v>
      </c>
      <c r="C6" s="33" t="s">
        <v>30</v>
      </c>
      <c r="D6" s="43" t="str">
        <f>VLOOKUP(A6,GROUPINGS!$A$2:$D$46,4,FALSE)</f>
        <v>A</v>
      </c>
      <c r="E6" s="11" t="s">
        <v>11</v>
      </c>
      <c r="F6" s="19">
        <f>(O6*0.5)+(S6*0.2)+(T6*0.1)+(U6*0.1)+(AL6*0.05)</f>
        <v>72.769642857142856</v>
      </c>
      <c r="G6" s="19" t="e">
        <f>F6/#REF!</f>
        <v>#REF!</v>
      </c>
      <c r="H6" s="5">
        <v>71</v>
      </c>
      <c r="I6" s="55">
        <v>45</v>
      </c>
      <c r="J6" s="5">
        <v>76</v>
      </c>
      <c r="K6" s="55">
        <f>VLOOKUP(A6,Table1[[student id]:[exam 4 %]],8,FALSE)</f>
        <v>57.142857142857139</v>
      </c>
      <c r="L6" s="5">
        <v>50</v>
      </c>
      <c r="M6" s="39">
        <v>68</v>
      </c>
      <c r="N6" s="94">
        <f>SUMPRODUCT(LARGE(H6:M6,{1,2,3,4,5}))/5</f>
        <v>64.428571428571416</v>
      </c>
      <c r="O6" s="93">
        <f>AVERAGE(SUMPRODUCT((LARGE(H6:L6,{1,2,3,4}))/4),M6)</f>
        <v>65.767857142857139</v>
      </c>
      <c r="P6" s="9">
        <v>100</v>
      </c>
      <c r="Q6" s="9">
        <v>77</v>
      </c>
      <c r="R6" s="9">
        <v>90</v>
      </c>
      <c r="S6" s="10">
        <f t="shared" si="0"/>
        <v>89</v>
      </c>
      <c r="T6" s="9">
        <v>100</v>
      </c>
      <c r="U6" s="18">
        <v>78</v>
      </c>
      <c r="V6" s="85">
        <f t="shared" si="1"/>
        <v>85.714285714285708</v>
      </c>
      <c r="W6" s="13">
        <v>1</v>
      </c>
      <c r="X6" s="14">
        <v>1</v>
      </c>
      <c r="Y6" s="13">
        <v>1</v>
      </c>
      <c r="Z6" s="14">
        <v>1</v>
      </c>
      <c r="AA6" s="13">
        <v>1</v>
      </c>
      <c r="AB6" s="14">
        <v>1</v>
      </c>
      <c r="AC6" s="13">
        <v>1</v>
      </c>
      <c r="AD6" s="14">
        <v>1</v>
      </c>
      <c r="AE6" s="13">
        <v>1</v>
      </c>
      <c r="AF6" s="31"/>
      <c r="AG6" s="13">
        <v>1</v>
      </c>
      <c r="AH6" s="13">
        <v>1</v>
      </c>
      <c r="AI6" s="34"/>
      <c r="AJ6" s="30">
        <v>1</v>
      </c>
      <c r="AK6" s="30"/>
      <c r="AL6" s="96">
        <f t="shared" si="2"/>
        <v>85.714285714285708</v>
      </c>
    </row>
    <row r="7" spans="1:39" x14ac:dyDescent="0.2">
      <c r="A7" s="61" t="s">
        <v>73</v>
      </c>
      <c r="B7" s="33" t="s">
        <v>74</v>
      </c>
      <c r="C7" s="33" t="s">
        <v>75</v>
      </c>
      <c r="D7" s="43" t="str">
        <f>VLOOKUP(A7,GROUPINGS!$A$2:$D$46,4,FALSE)</f>
        <v>B</v>
      </c>
      <c r="E7" s="11" t="s">
        <v>12</v>
      </c>
      <c r="F7" s="19" t="e">
        <f>(N7/#REF!)*0.5+(S7/#REF!)*0.2+(T7/#REF!)*0.1+(U7/#REF!)*0.1+(SUM(V7/#REF!)*0.05+(AL7/#REF!)*0.05)</f>
        <v>#REF!</v>
      </c>
      <c r="G7" s="19" t="e">
        <f>F7/#REF!</f>
        <v>#REF!</v>
      </c>
      <c r="H7" s="5">
        <v>74</v>
      </c>
      <c r="I7" s="55">
        <v>75</v>
      </c>
      <c r="J7" s="5">
        <v>79</v>
      </c>
      <c r="K7" s="55">
        <f>VLOOKUP(A7,Table1[[student id]:[exam 4 %]],8,FALSE)</f>
        <v>71.428571428571431</v>
      </c>
      <c r="L7" s="5">
        <v>70</v>
      </c>
      <c r="M7" s="39">
        <v>76</v>
      </c>
      <c r="N7" s="94">
        <f>SUMPRODUCT(LARGE(H7:M7,{1,2,3,4,5}))/5</f>
        <v>75.085714285714289</v>
      </c>
      <c r="O7" s="93">
        <f>AVERAGE(SUMPRODUCT((LARGE(H7:L7,{1,2,3,4}))/4),M7)</f>
        <v>75.428571428571431</v>
      </c>
      <c r="P7" s="9">
        <v>100</v>
      </c>
      <c r="Q7" s="9">
        <v>100</v>
      </c>
      <c r="R7" s="9">
        <v>95</v>
      </c>
      <c r="S7" s="10">
        <f t="shared" si="0"/>
        <v>98.333333333333329</v>
      </c>
      <c r="T7" s="9">
        <v>100</v>
      </c>
      <c r="U7" s="18">
        <v>62</v>
      </c>
      <c r="V7" s="85">
        <f t="shared" si="1"/>
        <v>128.57142857142858</v>
      </c>
      <c r="W7" s="13">
        <v>1</v>
      </c>
      <c r="X7" s="14">
        <v>1</v>
      </c>
      <c r="Y7" s="13">
        <v>1</v>
      </c>
      <c r="Z7" s="14">
        <v>1</v>
      </c>
      <c r="AA7" s="14">
        <v>1</v>
      </c>
      <c r="AB7" s="14">
        <v>1</v>
      </c>
      <c r="AC7" s="13">
        <v>1</v>
      </c>
      <c r="AD7" s="14">
        <v>1</v>
      </c>
      <c r="AE7" s="13">
        <v>1</v>
      </c>
      <c r="AF7" s="31">
        <v>5</v>
      </c>
      <c r="AG7" s="13">
        <v>1</v>
      </c>
      <c r="AH7" s="13">
        <v>1</v>
      </c>
      <c r="AI7" s="13">
        <v>1</v>
      </c>
      <c r="AJ7" s="30">
        <v>1</v>
      </c>
      <c r="AK7" s="30"/>
      <c r="AL7" s="96">
        <f t="shared" si="2"/>
        <v>128.57142857142858</v>
      </c>
    </row>
    <row r="8" spans="1:39" x14ac:dyDescent="0.2">
      <c r="A8" s="61" t="s">
        <v>91</v>
      </c>
      <c r="B8" s="33" t="s">
        <v>92</v>
      </c>
      <c r="C8" s="33" t="s">
        <v>93</v>
      </c>
      <c r="D8" s="43" t="str">
        <f>VLOOKUP(A8,GROUPINGS!$A$2:$D$46,4,FALSE)</f>
        <v>B</v>
      </c>
      <c r="E8" s="11" t="s">
        <v>12</v>
      </c>
      <c r="F8" s="19" t="e">
        <f>(N8/#REF!)*0.5+(S8/#REF!)*0.2+(T8/#REF!)*0.1+(U8/#REF!)*0.1+(SUM(V8/#REF!)*0.05+(AL8/#REF!)*0.05)</f>
        <v>#REF!</v>
      </c>
      <c r="G8" s="19" t="e">
        <f>F8/#REF!</f>
        <v>#REF!</v>
      </c>
      <c r="H8" s="5">
        <v>91</v>
      </c>
      <c r="I8" s="55">
        <v>85</v>
      </c>
      <c r="J8" s="5">
        <v>91</v>
      </c>
      <c r="K8" s="55">
        <f>VLOOKUP(A8,Table1[[student id]:[exam 4 %]],8,FALSE)</f>
        <v>80</v>
      </c>
      <c r="L8" s="5">
        <v>83</v>
      </c>
      <c r="M8" s="39">
        <v>88</v>
      </c>
      <c r="N8" s="94">
        <f>SUMPRODUCT(LARGE(H8:M8,{1,2,3,4,5}))/5</f>
        <v>87.6</v>
      </c>
      <c r="O8" s="93">
        <f>AVERAGE(SUMPRODUCT((LARGE(H8:L8,{1,2,3,4}))/4),M8)</f>
        <v>87.75</v>
      </c>
      <c r="P8" s="9">
        <v>100</v>
      </c>
      <c r="Q8" s="9">
        <v>100</v>
      </c>
      <c r="R8" s="9">
        <v>95</v>
      </c>
      <c r="S8" s="10">
        <f t="shared" si="0"/>
        <v>98.333333333333329</v>
      </c>
      <c r="T8" s="9">
        <v>50</v>
      </c>
      <c r="U8" s="18">
        <v>91</v>
      </c>
      <c r="V8" s="85">
        <f t="shared" si="1"/>
        <v>92.857142857142861</v>
      </c>
      <c r="W8" s="13">
        <v>1</v>
      </c>
      <c r="X8" s="14">
        <v>1</v>
      </c>
      <c r="Y8" s="13">
        <v>1</v>
      </c>
      <c r="Z8" s="14">
        <v>1</v>
      </c>
      <c r="AA8" s="13">
        <v>1</v>
      </c>
      <c r="AB8" s="14">
        <v>1</v>
      </c>
      <c r="AC8" s="13">
        <v>1</v>
      </c>
      <c r="AD8" s="14">
        <v>1</v>
      </c>
      <c r="AE8" s="13">
        <v>1</v>
      </c>
      <c r="AF8" s="31"/>
      <c r="AG8" s="13">
        <v>1</v>
      </c>
      <c r="AH8" s="13">
        <v>1</v>
      </c>
      <c r="AI8" s="13">
        <v>1</v>
      </c>
      <c r="AJ8" s="30">
        <v>1</v>
      </c>
      <c r="AK8" s="30"/>
      <c r="AL8" s="96">
        <f t="shared" si="2"/>
        <v>92.857142857142861</v>
      </c>
    </row>
    <row r="9" spans="1:39" s="71" customFormat="1" x14ac:dyDescent="0.2">
      <c r="A9" s="61" t="s">
        <v>133</v>
      </c>
      <c r="B9" s="33" t="s">
        <v>134</v>
      </c>
      <c r="C9" s="33" t="s">
        <v>153</v>
      </c>
      <c r="D9" s="43" t="str">
        <f>VLOOKUP(A9,GROUPINGS!$A$2:$D$46,4,FALSE)</f>
        <v>C</v>
      </c>
      <c r="E9" s="11" t="s">
        <v>11</v>
      </c>
      <c r="F9" s="19" t="e">
        <f>(N9/#REF!)*0.5+(S9/#REF!)*0.2+(T9/#REF!)*0.1+(U9/#REF!)*0.1+(SUM(V9/#REF!)*0.05+(AL9/#REF!)*0.05)</f>
        <v>#REF!</v>
      </c>
      <c r="G9" s="19" t="e">
        <f>F9/#REF!</f>
        <v>#REF!</v>
      </c>
      <c r="H9" s="5">
        <v>77</v>
      </c>
      <c r="I9" s="55">
        <v>0</v>
      </c>
      <c r="J9" s="62">
        <v>0</v>
      </c>
      <c r="K9" s="62">
        <v>0</v>
      </c>
      <c r="L9" s="62">
        <v>0</v>
      </c>
      <c r="M9" s="62">
        <v>0</v>
      </c>
      <c r="N9" s="94">
        <f>SUMPRODUCT(LARGE(H9:M9,{1,2,3,4,5}))/5</f>
        <v>15.4</v>
      </c>
      <c r="O9" s="93">
        <f>AVERAGE(SUMPRODUCT((LARGE(H9:L9,{1,2,3,4}))/4),M9)</f>
        <v>9.625</v>
      </c>
      <c r="P9" s="78"/>
      <c r="Q9" s="78">
        <v>0</v>
      </c>
      <c r="R9" s="9">
        <v>0</v>
      </c>
      <c r="S9" s="10">
        <f t="shared" si="0"/>
        <v>0</v>
      </c>
      <c r="T9" s="9">
        <v>0</v>
      </c>
      <c r="U9" s="18">
        <v>24</v>
      </c>
      <c r="V9" s="85">
        <f t="shared" si="1"/>
        <v>78.571428571428569</v>
      </c>
      <c r="W9" s="13">
        <v>1</v>
      </c>
      <c r="X9" s="14">
        <v>1</v>
      </c>
      <c r="Y9" s="13">
        <v>1</v>
      </c>
      <c r="Z9" s="34"/>
      <c r="AA9" s="13">
        <v>1</v>
      </c>
      <c r="AB9" s="34"/>
      <c r="AC9" s="34"/>
      <c r="AD9" s="14">
        <v>1</v>
      </c>
      <c r="AE9" s="34"/>
      <c r="AF9" s="31">
        <v>5</v>
      </c>
      <c r="AG9" s="34"/>
      <c r="AH9" s="13">
        <v>1</v>
      </c>
      <c r="AI9" s="34"/>
      <c r="AJ9" s="34"/>
      <c r="AK9" s="34"/>
      <c r="AL9" s="96">
        <f t="shared" si="2"/>
        <v>78.571428571428569</v>
      </c>
      <c r="AM9"/>
    </row>
    <row r="10" spans="1:39" x14ac:dyDescent="0.2">
      <c r="A10" s="61" t="s">
        <v>127</v>
      </c>
      <c r="B10" s="33" t="s">
        <v>128</v>
      </c>
      <c r="C10" s="33" t="s">
        <v>129</v>
      </c>
      <c r="D10" s="43" t="str">
        <f>VLOOKUP(A10,GROUPINGS!$A$2:$D$46,4,FALSE)</f>
        <v>D</v>
      </c>
      <c r="E10" s="45" t="s">
        <v>12</v>
      </c>
      <c r="F10" s="46" t="e">
        <f>(N10/#REF!)*0.5+(S10/#REF!)*0.2+(T10/#REF!)*0.1+(U10/#REF!)*0.1+(SUM(V10/#REF!)*0.05+(AL10/#REF!)*0.05)</f>
        <v>#REF!</v>
      </c>
      <c r="G10" s="46" t="e">
        <f>F10/#REF!</f>
        <v>#REF!</v>
      </c>
      <c r="H10" s="44">
        <v>75</v>
      </c>
      <c r="I10" s="55">
        <v>78</v>
      </c>
      <c r="J10" s="5">
        <v>91</v>
      </c>
      <c r="K10" s="55">
        <f>VLOOKUP(A10,Table1[[student id]:[exam 4 %]],8,FALSE)</f>
        <v>74.285714285714292</v>
      </c>
      <c r="L10" s="5">
        <v>53</v>
      </c>
      <c r="M10" s="39">
        <v>76</v>
      </c>
      <c r="N10" s="94">
        <f>SUMPRODUCT(LARGE(H10:M10,{1,2,3,4,5}))/5</f>
        <v>78.857142857142861</v>
      </c>
      <c r="O10" s="93">
        <f>AVERAGE(SUMPRODUCT((LARGE(H10:L10,{1,2,3,4}))/4),M10)</f>
        <v>77.785714285714278</v>
      </c>
      <c r="P10" s="9">
        <v>100</v>
      </c>
      <c r="Q10" s="9">
        <v>99</v>
      </c>
      <c r="R10" s="9">
        <v>99</v>
      </c>
      <c r="S10" s="10">
        <f t="shared" si="0"/>
        <v>99.333333333333329</v>
      </c>
      <c r="T10" s="9">
        <v>100</v>
      </c>
      <c r="U10" s="18">
        <v>87</v>
      </c>
      <c r="V10" s="85">
        <f t="shared" si="1"/>
        <v>71.428571428571431</v>
      </c>
      <c r="W10" s="13">
        <v>1</v>
      </c>
      <c r="X10" s="14">
        <v>1</v>
      </c>
      <c r="Y10" s="13">
        <v>1</v>
      </c>
      <c r="Z10" s="14">
        <v>1</v>
      </c>
      <c r="AA10" s="34"/>
      <c r="AB10" s="14">
        <v>1</v>
      </c>
      <c r="AC10" s="14">
        <v>1</v>
      </c>
      <c r="AD10" s="14">
        <v>1</v>
      </c>
      <c r="AE10" s="13">
        <v>1</v>
      </c>
      <c r="AF10" s="31"/>
      <c r="AG10" s="34"/>
      <c r="AH10" s="13">
        <v>1</v>
      </c>
      <c r="AI10" s="34"/>
      <c r="AJ10" s="30">
        <v>1</v>
      </c>
      <c r="AK10" s="30"/>
      <c r="AL10" s="96">
        <f t="shared" si="2"/>
        <v>71.428571428571431</v>
      </c>
    </row>
    <row r="11" spans="1:39" x14ac:dyDescent="0.2">
      <c r="A11" s="61" t="s">
        <v>55</v>
      </c>
      <c r="B11" s="33" t="s">
        <v>56</v>
      </c>
      <c r="C11" s="33" t="s">
        <v>57</v>
      </c>
      <c r="D11" s="43" t="str">
        <f>VLOOKUP(A11,GROUPINGS!$A$2:$D$46,4,FALSE)</f>
        <v>D</v>
      </c>
      <c r="E11" s="11" t="s">
        <v>12</v>
      </c>
      <c r="F11" s="19" t="e">
        <f>(N11/#REF!)*0.5+(S11/#REF!)*0.2+(T11/#REF!)*0.1+(U11/#REF!)*0.1+(SUM(V11/#REF!)*0.05+(AL11/#REF!)*0.05)</f>
        <v>#REF!</v>
      </c>
      <c r="G11" s="19" t="e">
        <f>F11/#REF!</f>
        <v>#REF!</v>
      </c>
      <c r="H11" s="5">
        <v>74</v>
      </c>
      <c r="I11" s="55">
        <v>68</v>
      </c>
      <c r="J11" s="5">
        <v>58</v>
      </c>
      <c r="K11" s="55">
        <f>VLOOKUP(A11,Table1[[student id]:[exam 4 %]],8,FALSE)</f>
        <v>74.285714285714292</v>
      </c>
      <c r="L11" s="5">
        <v>73</v>
      </c>
      <c r="M11" s="39">
        <v>84</v>
      </c>
      <c r="N11" s="94">
        <f>SUMPRODUCT(LARGE(H11:M11,{1,2,3,4,5}))/5</f>
        <v>74.657142857142858</v>
      </c>
      <c r="O11" s="93">
        <f>AVERAGE(SUMPRODUCT((LARGE(H11:L11,{1,2,3,4}))/4),M11)</f>
        <v>78.160714285714278</v>
      </c>
      <c r="P11" s="9">
        <v>100</v>
      </c>
      <c r="Q11" s="9">
        <v>99</v>
      </c>
      <c r="R11" s="9">
        <v>99</v>
      </c>
      <c r="S11" s="10">
        <f t="shared" si="0"/>
        <v>99.333333333333329</v>
      </c>
      <c r="T11" s="9">
        <v>100</v>
      </c>
      <c r="U11" s="18">
        <v>70</v>
      </c>
      <c r="V11" s="85">
        <f t="shared" si="1"/>
        <v>92.857142857142861</v>
      </c>
      <c r="W11" s="13">
        <v>1</v>
      </c>
      <c r="X11" s="14">
        <v>1</v>
      </c>
      <c r="Y11" s="13">
        <v>1</v>
      </c>
      <c r="Z11" s="14">
        <v>1</v>
      </c>
      <c r="AA11" s="13">
        <v>1</v>
      </c>
      <c r="AB11" s="14">
        <v>1</v>
      </c>
      <c r="AC11" s="13">
        <v>1</v>
      </c>
      <c r="AD11" s="14">
        <v>1</v>
      </c>
      <c r="AE11" s="13">
        <v>1</v>
      </c>
      <c r="AF11" s="31"/>
      <c r="AG11" s="13">
        <v>1</v>
      </c>
      <c r="AH11" s="13">
        <v>1</v>
      </c>
      <c r="AI11" s="13">
        <v>1</v>
      </c>
      <c r="AJ11" s="30">
        <v>1</v>
      </c>
      <c r="AK11" s="30"/>
      <c r="AL11" s="96">
        <f t="shared" si="2"/>
        <v>92.857142857142861</v>
      </c>
    </row>
    <row r="12" spans="1:39" x14ac:dyDescent="0.2">
      <c r="A12" s="61" t="s">
        <v>79</v>
      </c>
      <c r="B12" s="33" t="s">
        <v>80</v>
      </c>
      <c r="C12" s="33" t="s">
        <v>81</v>
      </c>
      <c r="D12" s="43" t="str">
        <f>VLOOKUP(A12,GROUPINGS!$A$2:$D$46,4,FALSE)</f>
        <v>E</v>
      </c>
      <c r="E12" s="11" t="s">
        <v>12</v>
      </c>
      <c r="F12" s="19" t="e">
        <f>(N12/#REF!)*0.5+(S12/#REF!)*0.2+(T12/#REF!)*0.1+(U12/#REF!)*0.1+(SUM(V12/#REF!)*0.05+(AL12/#REF!)*0.05)</f>
        <v>#REF!</v>
      </c>
      <c r="G12" s="19" t="e">
        <f>F12/#REF!</f>
        <v>#REF!</v>
      </c>
      <c r="H12" s="5">
        <v>46</v>
      </c>
      <c r="I12" s="55">
        <v>48</v>
      </c>
      <c r="J12" s="5">
        <v>70</v>
      </c>
      <c r="K12" s="55">
        <f>VLOOKUP(A12,Table1[[student id]:[exam 4 %]],8,FALSE)</f>
        <v>48.571428571428569</v>
      </c>
      <c r="L12" s="5">
        <v>60</v>
      </c>
      <c r="M12" s="39">
        <v>50</v>
      </c>
      <c r="N12" s="94">
        <f>SUMPRODUCT(LARGE(H12:M12,{1,2,3,4,5}))/5</f>
        <v>55.31428571428571</v>
      </c>
      <c r="O12" s="93">
        <f>AVERAGE(SUMPRODUCT((LARGE(H12:L12,{1,2,3,4}))/4),M12)</f>
        <v>53.321428571428569</v>
      </c>
      <c r="P12" s="9">
        <v>88</v>
      </c>
      <c r="Q12" s="9">
        <v>57</v>
      </c>
      <c r="R12" s="9">
        <v>50</v>
      </c>
      <c r="S12" s="10">
        <f t="shared" si="0"/>
        <v>65</v>
      </c>
      <c r="T12" s="9">
        <v>0</v>
      </c>
      <c r="U12" s="18">
        <v>34</v>
      </c>
      <c r="V12" s="85">
        <f t="shared" si="1"/>
        <v>28.571428571428569</v>
      </c>
      <c r="W12" s="13">
        <v>1</v>
      </c>
      <c r="X12" s="34"/>
      <c r="Y12" s="34"/>
      <c r="Z12" s="14">
        <v>1</v>
      </c>
      <c r="AA12" s="34"/>
      <c r="AB12" s="14">
        <v>1</v>
      </c>
      <c r="AC12" s="34"/>
      <c r="AD12" s="34"/>
      <c r="AE12" s="34"/>
      <c r="AF12" s="31"/>
      <c r="AG12" s="13">
        <v>1</v>
      </c>
      <c r="AH12" s="34"/>
      <c r="AI12" s="34"/>
      <c r="AJ12" s="34"/>
      <c r="AK12" s="34"/>
      <c r="AL12" s="96">
        <f t="shared" si="2"/>
        <v>28.571428571428569</v>
      </c>
    </row>
    <row r="13" spans="1:39" x14ac:dyDescent="0.2">
      <c r="A13" s="61" t="s">
        <v>144</v>
      </c>
      <c r="B13" s="33" t="s">
        <v>145</v>
      </c>
      <c r="C13" s="33" t="s">
        <v>146</v>
      </c>
      <c r="D13" s="43" t="str">
        <f>VLOOKUP(A13,GROUPINGS!$A$2:$D$46,4,FALSE)</f>
        <v>E</v>
      </c>
      <c r="E13" s="11" t="s">
        <v>12</v>
      </c>
      <c r="F13" s="19" t="e">
        <f>(N13/#REF!)*0.5+(S13/#REF!)*0.2+(T13/#REF!)*0.1+(U13/#REF!)*0.1+(SUM(V13/#REF!)*0.05+(AL13/#REF!)*0.05)</f>
        <v>#REF!</v>
      </c>
      <c r="G13" s="19" t="e">
        <f>F13/#REF!</f>
        <v>#REF!</v>
      </c>
      <c r="H13" s="5">
        <v>66</v>
      </c>
      <c r="I13" s="55">
        <v>48</v>
      </c>
      <c r="J13" s="5">
        <v>36</v>
      </c>
      <c r="K13" s="55">
        <f>VLOOKUP(A13,Table1[[student id]:[exam 4 %]],8,FALSE)</f>
        <v>0</v>
      </c>
      <c r="L13" s="5">
        <v>53</v>
      </c>
      <c r="M13" s="39">
        <v>28</v>
      </c>
      <c r="N13" s="94">
        <f>SUMPRODUCT(LARGE(H13:M13,{1,2,3,4,5}))/5</f>
        <v>46.2</v>
      </c>
      <c r="O13" s="93">
        <f>AVERAGE(SUMPRODUCT((LARGE(H13:L13,{1,2,3,4}))/4),M13)</f>
        <v>39.375</v>
      </c>
      <c r="P13" s="9">
        <v>88</v>
      </c>
      <c r="Q13" s="9">
        <v>57</v>
      </c>
      <c r="R13" s="9">
        <v>50</v>
      </c>
      <c r="S13" s="10">
        <f t="shared" si="0"/>
        <v>65</v>
      </c>
      <c r="T13" s="9">
        <v>0</v>
      </c>
      <c r="U13" s="18">
        <v>17</v>
      </c>
      <c r="V13" s="85">
        <f t="shared" si="1"/>
        <v>28.571428571428569</v>
      </c>
      <c r="W13" s="13">
        <v>1</v>
      </c>
      <c r="X13" s="34"/>
      <c r="Y13" s="34"/>
      <c r="Z13" s="14">
        <v>1</v>
      </c>
      <c r="AA13" s="34"/>
      <c r="AB13" s="14">
        <v>1</v>
      </c>
      <c r="AC13" s="34"/>
      <c r="AD13" s="34"/>
      <c r="AE13" s="34"/>
      <c r="AF13" s="31"/>
      <c r="AG13" s="13">
        <v>1</v>
      </c>
      <c r="AH13" s="34"/>
      <c r="AI13" s="34"/>
      <c r="AJ13" s="34"/>
      <c r="AK13" s="34"/>
      <c r="AL13" s="96">
        <f t="shared" si="2"/>
        <v>28.571428571428569</v>
      </c>
    </row>
    <row r="14" spans="1:39" x14ac:dyDescent="0.2">
      <c r="A14" s="61" t="s">
        <v>82</v>
      </c>
      <c r="B14" s="33" t="s">
        <v>83</v>
      </c>
      <c r="C14" s="33" t="s">
        <v>84</v>
      </c>
      <c r="D14" s="43" t="str">
        <f>VLOOKUP(A14,GROUPINGS!$A$2:$D$46,4,FALSE)</f>
        <v>F</v>
      </c>
      <c r="E14" s="11" t="s">
        <v>11</v>
      </c>
      <c r="F14" s="19" t="e">
        <f>(N14/#REF!)*0.5+(S14/#REF!)*0.2+(T14/#REF!)*0.1+(U14/#REF!)*0.1+(SUM(V14/#REF!)*0.05+(AL14/#REF!)*0.05)</f>
        <v>#REF!</v>
      </c>
      <c r="G14" s="19" t="e">
        <f>F14/#REF!</f>
        <v>#REF!</v>
      </c>
      <c r="H14" s="5">
        <v>94</v>
      </c>
      <c r="I14" s="55">
        <v>80</v>
      </c>
      <c r="J14" s="5">
        <v>88</v>
      </c>
      <c r="K14" s="55">
        <f>VLOOKUP(A14,Table1[[student id]:[exam 4 %]],8,FALSE)</f>
        <v>85.714285714285708</v>
      </c>
      <c r="L14" s="5">
        <v>80</v>
      </c>
      <c r="M14" s="39">
        <v>88</v>
      </c>
      <c r="N14" s="94">
        <f>SUMPRODUCT(LARGE(H14:M14,{1,2,3,4,5}))/5</f>
        <v>87.142857142857139</v>
      </c>
      <c r="O14" s="93">
        <f>AVERAGE(SUMPRODUCT((LARGE(H14:L14,{1,2,3,4}))/4),M14)</f>
        <v>87.464285714285722</v>
      </c>
      <c r="P14" s="9">
        <v>97</v>
      </c>
      <c r="Q14" s="9">
        <v>98</v>
      </c>
      <c r="R14" s="9">
        <v>94</v>
      </c>
      <c r="S14" s="10">
        <f t="shared" si="0"/>
        <v>96.333333333333329</v>
      </c>
      <c r="T14" s="9">
        <v>100</v>
      </c>
      <c r="U14" s="18">
        <v>98</v>
      </c>
      <c r="V14" s="85">
        <f t="shared" si="1"/>
        <v>128.57142857142858</v>
      </c>
      <c r="W14" s="13">
        <v>1</v>
      </c>
      <c r="X14" s="14">
        <v>1</v>
      </c>
      <c r="Y14" s="13">
        <v>1</v>
      </c>
      <c r="Z14" s="14">
        <v>1</v>
      </c>
      <c r="AA14" s="13">
        <v>1</v>
      </c>
      <c r="AB14" s="14">
        <v>1</v>
      </c>
      <c r="AC14" s="13">
        <v>1</v>
      </c>
      <c r="AD14" s="14">
        <v>1</v>
      </c>
      <c r="AE14" s="13">
        <v>1</v>
      </c>
      <c r="AF14" s="31">
        <v>5</v>
      </c>
      <c r="AG14" s="13">
        <v>1</v>
      </c>
      <c r="AH14" s="13">
        <v>1</v>
      </c>
      <c r="AI14" s="13">
        <v>1</v>
      </c>
      <c r="AJ14" s="30">
        <v>1</v>
      </c>
      <c r="AK14" s="30"/>
      <c r="AL14" s="96">
        <f t="shared" si="2"/>
        <v>128.57142857142858</v>
      </c>
    </row>
    <row r="15" spans="1:39" x14ac:dyDescent="0.2">
      <c r="A15" s="61" t="s">
        <v>105</v>
      </c>
      <c r="B15" s="33" t="s">
        <v>106</v>
      </c>
      <c r="C15" s="33" t="s">
        <v>104</v>
      </c>
      <c r="D15" s="43" t="str">
        <f>VLOOKUP(A15,GROUPINGS!$A$2:$D$46,4,FALSE)</f>
        <v>F</v>
      </c>
      <c r="E15" s="11" t="s">
        <v>12</v>
      </c>
      <c r="F15" s="19" t="e">
        <f>(N15/#REF!)*0.5+(S15/#REF!)*0.2+(T15/#REF!)*0.1+(U15/#REF!)*0.1+(SUM(V15/#REF!)*0.05+(AL15/#REF!)*0.05)</f>
        <v>#REF!</v>
      </c>
      <c r="G15" s="19" t="e">
        <f>F15/#REF!</f>
        <v>#REF!</v>
      </c>
      <c r="H15" s="5">
        <v>74</v>
      </c>
      <c r="I15" s="55">
        <v>83</v>
      </c>
      <c r="J15" s="5">
        <v>91</v>
      </c>
      <c r="K15" s="55">
        <f>VLOOKUP(A15,Table1[[student id]:[exam 4 %]],8,FALSE)</f>
        <v>88.571428571428569</v>
      </c>
      <c r="L15" s="5">
        <v>87</v>
      </c>
      <c r="M15" s="39">
        <v>98</v>
      </c>
      <c r="N15" s="94">
        <f>SUMPRODUCT(LARGE(H15:M15,{1,2,3,4,5}))/5</f>
        <v>89.514285714285705</v>
      </c>
      <c r="O15" s="93">
        <f>AVERAGE(SUMPRODUCT((LARGE(H15:L15,{1,2,3,4}))/4),M15)</f>
        <v>92.696428571428569</v>
      </c>
      <c r="P15" s="9">
        <v>97</v>
      </c>
      <c r="Q15" s="9">
        <v>98</v>
      </c>
      <c r="R15" s="9">
        <v>94</v>
      </c>
      <c r="S15" s="10">
        <f t="shared" si="0"/>
        <v>96.333333333333329</v>
      </c>
      <c r="T15" s="9">
        <v>100</v>
      </c>
      <c r="U15" s="18">
        <v>90</v>
      </c>
      <c r="V15" s="85">
        <f t="shared" si="1"/>
        <v>78.571428571428569</v>
      </c>
      <c r="W15" s="13">
        <v>1</v>
      </c>
      <c r="X15" s="37">
        <v>1</v>
      </c>
      <c r="Y15" s="13">
        <v>1</v>
      </c>
      <c r="Z15" s="14">
        <v>1</v>
      </c>
      <c r="AA15" s="34"/>
      <c r="AB15" s="14">
        <v>1</v>
      </c>
      <c r="AC15" s="13">
        <v>1</v>
      </c>
      <c r="AD15" s="14">
        <v>1</v>
      </c>
      <c r="AE15" s="13">
        <v>1</v>
      </c>
      <c r="AF15" s="31"/>
      <c r="AG15" s="34"/>
      <c r="AH15" s="13">
        <v>1</v>
      </c>
      <c r="AI15" s="13">
        <v>1</v>
      </c>
      <c r="AJ15" s="30">
        <v>1</v>
      </c>
      <c r="AK15" s="30"/>
      <c r="AL15" s="96">
        <f t="shared" si="2"/>
        <v>78.571428571428569</v>
      </c>
    </row>
    <row r="16" spans="1:39" x14ac:dyDescent="0.2">
      <c r="A16" s="61" t="s">
        <v>43</v>
      </c>
      <c r="B16" s="33" t="s">
        <v>44</v>
      </c>
      <c r="C16" s="33" t="s">
        <v>45</v>
      </c>
      <c r="D16" s="43" t="str">
        <f>VLOOKUP(A16,GROUPINGS!$A$2:$D$46,4,FALSE)</f>
        <v>F</v>
      </c>
      <c r="E16" s="11" t="s">
        <v>12</v>
      </c>
      <c r="F16" s="19" t="e">
        <f>(N16/#REF!)*0.5+(S16/#REF!)*0.2+(T16/#REF!)*0.1+(U16/#REF!)*0.1+(SUM(V16/#REF!)*0.05+(AL16/#REF!)*0.05)</f>
        <v>#REF!</v>
      </c>
      <c r="G16" s="19" t="e">
        <f>F16/#REF!</f>
        <v>#REF!</v>
      </c>
      <c r="H16" s="5">
        <v>69</v>
      </c>
      <c r="I16" s="55">
        <v>58</v>
      </c>
      <c r="J16" s="5">
        <v>85</v>
      </c>
      <c r="K16" s="55">
        <f>VLOOKUP(A16,Table1[[student id]:[exam 4 %]],8,FALSE)</f>
        <v>82.857142857142861</v>
      </c>
      <c r="L16" s="5">
        <v>57</v>
      </c>
      <c r="M16" s="39">
        <v>76</v>
      </c>
      <c r="N16" s="94">
        <f>SUMPRODUCT(LARGE(H16:M16,{1,2,3,4,5}))/5</f>
        <v>74.171428571428578</v>
      </c>
      <c r="O16" s="93">
        <f>AVERAGE(SUMPRODUCT((LARGE(H16:L16,{1,2,3,4}))/4),M16)</f>
        <v>74.857142857142861</v>
      </c>
      <c r="P16" s="9">
        <v>97</v>
      </c>
      <c r="Q16" s="9">
        <v>98</v>
      </c>
      <c r="R16" s="9">
        <v>94</v>
      </c>
      <c r="S16" s="10">
        <f t="shared" si="0"/>
        <v>96.333333333333329</v>
      </c>
      <c r="T16" s="9">
        <v>100</v>
      </c>
      <c r="U16" s="18">
        <v>76</v>
      </c>
      <c r="V16" s="85">
        <f t="shared" si="1"/>
        <v>71.428571428571431</v>
      </c>
      <c r="W16" s="13">
        <v>1</v>
      </c>
      <c r="X16" s="14">
        <v>1</v>
      </c>
      <c r="Y16" s="13">
        <v>1</v>
      </c>
      <c r="Z16" s="14">
        <v>1</v>
      </c>
      <c r="AA16" s="13">
        <v>1</v>
      </c>
      <c r="AB16" s="14">
        <v>1</v>
      </c>
      <c r="AC16" s="13">
        <v>1</v>
      </c>
      <c r="AD16" s="34"/>
      <c r="AE16" s="13">
        <v>1</v>
      </c>
      <c r="AF16" s="31"/>
      <c r="AG16" s="13">
        <v>1</v>
      </c>
      <c r="AH16" s="34"/>
      <c r="AI16" s="13">
        <v>1</v>
      </c>
      <c r="AJ16" s="34"/>
      <c r="AK16" s="34"/>
      <c r="AL16" s="96">
        <f t="shared" si="2"/>
        <v>71.428571428571431</v>
      </c>
    </row>
    <row r="17" spans="1:39" x14ac:dyDescent="0.2">
      <c r="A17" s="61" t="s">
        <v>94</v>
      </c>
      <c r="B17" s="33" t="s">
        <v>68</v>
      </c>
      <c r="C17" s="97" t="s">
        <v>95</v>
      </c>
      <c r="D17" s="43" t="str">
        <f>VLOOKUP(A17,GROUPINGS!$A$2:$D$46,4,FALSE)</f>
        <v>G</v>
      </c>
      <c r="E17" s="11" t="s">
        <v>11</v>
      </c>
      <c r="F17" s="19" t="e">
        <f>(N17/#REF!)*0.5+(S17/#REF!)*0.2+(T17/#REF!)*0.1+(U17/#REF!)*0.1+(SUM(V17/#REF!)*0.05+(AL17/#REF!)*0.05)</f>
        <v>#REF!</v>
      </c>
      <c r="G17" s="19" t="e">
        <f>F17/#REF!</f>
        <v>#REF!</v>
      </c>
      <c r="H17" s="5">
        <v>60</v>
      </c>
      <c r="I17" s="55">
        <v>48</v>
      </c>
      <c r="J17" s="5">
        <v>48</v>
      </c>
      <c r="K17" s="55">
        <f>VLOOKUP(A17,Table1[[student id]:[exam 4 %]],8,FALSE)</f>
        <v>45.714285714285715</v>
      </c>
      <c r="L17" s="5">
        <v>47</v>
      </c>
      <c r="M17" s="39">
        <v>44</v>
      </c>
      <c r="N17" s="94">
        <f>SUMPRODUCT(LARGE(H17:M17,{1,2,3,4,5}))/5</f>
        <v>49.742857142857147</v>
      </c>
      <c r="O17" s="93">
        <f>AVERAGE(SUMPRODUCT((LARGE(H17:L17,{1,2,3,4}))/4),M17)</f>
        <v>47.375</v>
      </c>
      <c r="P17" s="9">
        <v>78</v>
      </c>
      <c r="Q17" s="9">
        <v>41</v>
      </c>
      <c r="R17" s="99">
        <f>99*25%</f>
        <v>24.75</v>
      </c>
      <c r="S17" s="10">
        <f t="shared" si="0"/>
        <v>47.916666666666664</v>
      </c>
      <c r="T17" s="9">
        <v>100</v>
      </c>
      <c r="U17" s="18">
        <v>97</v>
      </c>
      <c r="V17" s="85">
        <f t="shared" si="1"/>
        <v>64.285714285714292</v>
      </c>
      <c r="W17" s="13">
        <v>1</v>
      </c>
      <c r="X17" s="14">
        <v>1</v>
      </c>
      <c r="Y17" s="13">
        <v>1</v>
      </c>
      <c r="Z17" s="14">
        <v>1</v>
      </c>
      <c r="AA17" s="13">
        <v>1</v>
      </c>
      <c r="AB17" s="14">
        <v>1</v>
      </c>
      <c r="AC17" s="13">
        <v>1</v>
      </c>
      <c r="AD17" s="14">
        <v>1</v>
      </c>
      <c r="AE17" s="13">
        <v>1</v>
      </c>
      <c r="AF17" s="31"/>
      <c r="AG17" s="13">
        <v>1</v>
      </c>
      <c r="AH17" s="13">
        <v>1</v>
      </c>
      <c r="AI17" s="80">
        <v>-3</v>
      </c>
      <c r="AJ17" s="30">
        <v>1</v>
      </c>
      <c r="AK17" s="30"/>
      <c r="AL17" s="96">
        <f t="shared" si="2"/>
        <v>64.285714285714292</v>
      </c>
    </row>
    <row r="18" spans="1:39" x14ac:dyDescent="0.2">
      <c r="A18" s="61" t="s">
        <v>102</v>
      </c>
      <c r="B18" s="33" t="s">
        <v>103</v>
      </c>
      <c r="C18" s="33" t="s">
        <v>104</v>
      </c>
      <c r="D18" s="43" t="str">
        <f>VLOOKUP(A18,GROUPINGS!$A$2:$D$46,4,FALSE)</f>
        <v>G</v>
      </c>
      <c r="E18" s="11" t="s">
        <v>12</v>
      </c>
      <c r="F18" s="19" t="e">
        <f>(N18/#REF!)*0.5+(S18/#REF!)*0.2+(T18/#REF!)*0.1+(U18/#REF!)*0.1+(SUM(V18/#REF!)*0.05+(AL18/#REF!)*0.05)</f>
        <v>#REF!</v>
      </c>
      <c r="G18" s="19" t="e">
        <f>F18/#REF!</f>
        <v>#REF!</v>
      </c>
      <c r="H18" s="5">
        <v>74</v>
      </c>
      <c r="I18" s="55">
        <v>68</v>
      </c>
      <c r="J18" s="5">
        <v>73</v>
      </c>
      <c r="K18" s="55">
        <f>VLOOKUP(A18,Table1[[student id]:[exam 4 %]],8,FALSE)</f>
        <v>71.428571428571431</v>
      </c>
      <c r="L18" s="62">
        <v>0</v>
      </c>
      <c r="M18" s="39">
        <v>84</v>
      </c>
      <c r="N18" s="94">
        <f>SUMPRODUCT(LARGE(H18:M18,{1,2,3,4,5}))/5</f>
        <v>74.085714285714289</v>
      </c>
      <c r="O18" s="93">
        <f>AVERAGE(SUMPRODUCT((LARGE(H18:L18,{1,2,3,4}))/4),M18)</f>
        <v>77.803571428571431</v>
      </c>
      <c r="P18" s="9">
        <v>78</v>
      </c>
      <c r="Q18" s="9">
        <v>41</v>
      </c>
      <c r="R18" s="9">
        <v>100</v>
      </c>
      <c r="S18" s="10">
        <f t="shared" si="0"/>
        <v>73</v>
      </c>
      <c r="T18" s="9">
        <v>100</v>
      </c>
      <c r="U18" s="18">
        <v>94</v>
      </c>
      <c r="V18" s="85">
        <f t="shared" si="1"/>
        <v>64.285714285714292</v>
      </c>
      <c r="W18" s="13">
        <v>1</v>
      </c>
      <c r="X18" s="14">
        <v>1</v>
      </c>
      <c r="Y18" s="13">
        <v>1</v>
      </c>
      <c r="Z18" s="34"/>
      <c r="AA18" s="13">
        <v>1</v>
      </c>
      <c r="AB18" s="14">
        <v>1</v>
      </c>
      <c r="AC18" s="13">
        <v>1</v>
      </c>
      <c r="AD18" s="34"/>
      <c r="AE18" s="34"/>
      <c r="AF18" s="31"/>
      <c r="AG18" s="13">
        <v>1</v>
      </c>
      <c r="AH18" s="34"/>
      <c r="AI18" s="13">
        <v>1</v>
      </c>
      <c r="AJ18" s="30">
        <v>1</v>
      </c>
      <c r="AK18" s="30"/>
      <c r="AL18" s="96">
        <f t="shared" si="2"/>
        <v>64.285714285714292</v>
      </c>
    </row>
    <row r="19" spans="1:39" x14ac:dyDescent="0.2">
      <c r="A19" s="61" t="s">
        <v>130</v>
      </c>
      <c r="B19" s="33" t="s">
        <v>131</v>
      </c>
      <c r="C19" s="33" t="s">
        <v>132</v>
      </c>
      <c r="D19" s="43" t="str">
        <f>VLOOKUP(A19,GROUPINGS!$A$2:$D$46,4,FALSE)</f>
        <v>H</v>
      </c>
      <c r="E19" s="11" t="s">
        <v>11</v>
      </c>
      <c r="F19" s="19" t="e">
        <f>(N19/#REF!)*0.5+(S19/#REF!)*0.2+(T19/#REF!)*0.1+(U19/#REF!)*0.1+(SUM(V19/#REF!)*0.05+(AL19/#REF!)*0.05)</f>
        <v>#REF!</v>
      </c>
      <c r="G19" s="19" t="e">
        <f>F19/#REF!</f>
        <v>#REF!</v>
      </c>
      <c r="H19" s="5">
        <v>49</v>
      </c>
      <c r="I19" s="55">
        <v>50</v>
      </c>
      <c r="J19" s="5">
        <v>52</v>
      </c>
      <c r="K19" s="55">
        <f>VLOOKUP(A19,Table1[[student id]:[exam 4 %]],8,FALSE)</f>
        <v>57.142857142857139</v>
      </c>
      <c r="L19" s="5">
        <v>37</v>
      </c>
      <c r="M19" s="39">
        <v>58</v>
      </c>
      <c r="N19" s="94">
        <f>SUMPRODUCT(LARGE(H19:M19,{1,2,3,4,5}))/5</f>
        <v>53.228571428571421</v>
      </c>
      <c r="O19" s="93">
        <f>AVERAGE(SUMPRODUCT((LARGE(H19:L19,{1,2,3,4}))/4),M19)</f>
        <v>55.017857142857139</v>
      </c>
      <c r="P19" s="9">
        <v>82</v>
      </c>
      <c r="Q19" s="9">
        <v>86</v>
      </c>
      <c r="R19" s="99">
        <v>88</v>
      </c>
      <c r="S19" s="10">
        <f t="shared" si="0"/>
        <v>85.333333333333329</v>
      </c>
      <c r="T19" s="9">
        <v>100</v>
      </c>
      <c r="U19" s="18">
        <v>63</v>
      </c>
      <c r="V19" s="85">
        <f t="shared" si="1"/>
        <v>57.142857142857139</v>
      </c>
      <c r="W19" s="13">
        <v>1</v>
      </c>
      <c r="X19" s="14">
        <v>1</v>
      </c>
      <c r="Y19" s="13">
        <v>1</v>
      </c>
      <c r="Z19" s="34"/>
      <c r="AA19" s="13">
        <v>1</v>
      </c>
      <c r="AB19" s="34"/>
      <c r="AC19" s="13">
        <v>1</v>
      </c>
      <c r="AD19" s="34"/>
      <c r="AE19" s="13">
        <v>1</v>
      </c>
      <c r="AF19" s="31"/>
      <c r="AG19" s="34"/>
      <c r="AH19" s="13">
        <v>1</v>
      </c>
      <c r="AI19" s="34"/>
      <c r="AJ19" s="30">
        <v>1</v>
      </c>
      <c r="AK19" s="30"/>
      <c r="AL19" s="96">
        <f t="shared" si="2"/>
        <v>57.142857142857139</v>
      </c>
    </row>
    <row r="20" spans="1:39" x14ac:dyDescent="0.2">
      <c r="A20" s="61" t="s">
        <v>147</v>
      </c>
      <c r="B20" s="33" t="s">
        <v>148</v>
      </c>
      <c r="C20" s="33" t="s">
        <v>149</v>
      </c>
      <c r="D20" s="43" t="str">
        <f>VLOOKUP(A20,GROUPINGS!$A$2:$D$46,4,FALSE)</f>
        <v>H</v>
      </c>
      <c r="E20" s="11" t="s">
        <v>12</v>
      </c>
      <c r="F20" s="19" t="e">
        <f>(N20/#REF!)*0.5+(S20/#REF!)*0.2+(T20/#REF!)*0.1+(U20/#REF!)*0.1+(SUM(V20/#REF!)*0.05+(AL20/#REF!)*0.05)</f>
        <v>#REF!</v>
      </c>
      <c r="G20" s="19" t="e">
        <f>F20/#REF!</f>
        <v>#REF!</v>
      </c>
      <c r="H20" s="5">
        <v>40</v>
      </c>
      <c r="I20" s="55">
        <v>63</v>
      </c>
      <c r="J20" s="5">
        <v>61</v>
      </c>
      <c r="K20" s="55">
        <f>VLOOKUP(A20,Table1[[student id]:[exam 4 %]],8,FALSE)</f>
        <v>40</v>
      </c>
      <c r="L20" s="5">
        <v>50</v>
      </c>
      <c r="M20" s="39">
        <v>40</v>
      </c>
      <c r="N20" s="94">
        <f>SUMPRODUCT(LARGE(H20:M20,{1,2,3,4,5}))/5</f>
        <v>50.8</v>
      </c>
      <c r="O20" s="93">
        <f>AVERAGE(SUMPRODUCT((LARGE(H20:L20,{1,2,3,4}))/4),M20)</f>
        <v>46.75</v>
      </c>
      <c r="P20" s="9">
        <v>82</v>
      </c>
      <c r="Q20" s="9">
        <v>86</v>
      </c>
      <c r="R20" s="99">
        <f>88*40%</f>
        <v>35.200000000000003</v>
      </c>
      <c r="S20" s="10">
        <f t="shared" si="0"/>
        <v>67.733333333333334</v>
      </c>
      <c r="T20" s="9">
        <v>0</v>
      </c>
      <c r="U20" s="18">
        <v>68</v>
      </c>
      <c r="V20" s="85">
        <f t="shared" si="1"/>
        <v>50</v>
      </c>
      <c r="W20" s="13">
        <v>1</v>
      </c>
      <c r="X20" s="14">
        <v>1</v>
      </c>
      <c r="Y20" s="13">
        <v>1</v>
      </c>
      <c r="Z20" s="14">
        <v>1</v>
      </c>
      <c r="AA20" s="34"/>
      <c r="AB20" s="14">
        <v>1</v>
      </c>
      <c r="AC20" s="34"/>
      <c r="AD20" s="34"/>
      <c r="AE20" s="13">
        <v>1</v>
      </c>
      <c r="AF20" s="31"/>
      <c r="AG20" s="34"/>
      <c r="AH20" s="34"/>
      <c r="AI20" s="34"/>
      <c r="AJ20" s="30">
        <v>1</v>
      </c>
      <c r="AK20" s="30"/>
      <c r="AL20" s="96">
        <f t="shared" si="2"/>
        <v>50</v>
      </c>
    </row>
    <row r="21" spans="1:39" x14ac:dyDescent="0.2">
      <c r="A21" s="61" t="s">
        <v>76</v>
      </c>
      <c r="B21" s="33" t="s">
        <v>77</v>
      </c>
      <c r="C21" s="33" t="s">
        <v>78</v>
      </c>
      <c r="D21" s="43" t="str">
        <f>VLOOKUP(A21,GROUPINGS!$A$2:$D$46,4,FALSE)</f>
        <v>I</v>
      </c>
      <c r="E21" s="11" t="s">
        <v>12</v>
      </c>
      <c r="F21" s="19" t="e">
        <f>(N21/#REF!)*0.5+(S21/#REF!)*0.2+(T21/#REF!)*0.1+(U21/#REF!)*0.1+(SUM(V21/#REF!)*0.05+(AL21/#REF!)*0.05)</f>
        <v>#REF!</v>
      </c>
      <c r="G21" s="19" t="e">
        <f>F21/#REF!</f>
        <v>#REF!</v>
      </c>
      <c r="H21" s="5">
        <v>83</v>
      </c>
      <c r="I21" s="55">
        <v>75</v>
      </c>
      <c r="J21" s="5">
        <v>79</v>
      </c>
      <c r="K21" s="55">
        <f>VLOOKUP(A21,Table1[[student id]:[exam 4 %]],8,FALSE)</f>
        <v>74.285714285714292</v>
      </c>
      <c r="L21" s="5">
        <v>87</v>
      </c>
      <c r="M21" s="39">
        <v>86</v>
      </c>
      <c r="N21" s="94">
        <f>SUMPRODUCT(LARGE(H21:M21,{1,2,3,4,5}))/5</f>
        <v>82</v>
      </c>
      <c r="O21" s="93">
        <f>AVERAGE(SUMPRODUCT((LARGE(H21:L21,{1,2,3,4}))/4),M21)</f>
        <v>83.5</v>
      </c>
      <c r="P21" s="9">
        <v>81</v>
      </c>
      <c r="Q21" s="9">
        <v>82</v>
      </c>
      <c r="R21" s="9">
        <v>95</v>
      </c>
      <c r="S21" s="10">
        <f t="shared" si="0"/>
        <v>86</v>
      </c>
      <c r="T21" s="9">
        <v>100</v>
      </c>
      <c r="U21" s="18">
        <v>81</v>
      </c>
      <c r="V21" s="85">
        <f t="shared" si="1"/>
        <v>64.285714285714292</v>
      </c>
      <c r="W21" s="13">
        <v>1</v>
      </c>
      <c r="X21" s="34"/>
      <c r="Y21" s="13">
        <v>1</v>
      </c>
      <c r="Z21" s="14">
        <v>1</v>
      </c>
      <c r="AA21" s="13">
        <v>1</v>
      </c>
      <c r="AB21" s="14">
        <v>1</v>
      </c>
      <c r="AC21" s="13">
        <v>1</v>
      </c>
      <c r="AD21" s="34"/>
      <c r="AE21" s="13">
        <v>1</v>
      </c>
      <c r="AF21" s="69"/>
      <c r="AG21" s="34"/>
      <c r="AH21" s="13">
        <v>1</v>
      </c>
      <c r="AI21" s="13">
        <v>1</v>
      </c>
      <c r="AJ21" s="34"/>
      <c r="AK21" s="34"/>
      <c r="AL21" s="96">
        <f t="shared" si="2"/>
        <v>64.285714285714292</v>
      </c>
    </row>
    <row r="22" spans="1:39" x14ac:dyDescent="0.2">
      <c r="A22" s="61" t="s">
        <v>110</v>
      </c>
      <c r="B22" s="33" t="s">
        <v>111</v>
      </c>
      <c r="C22" s="33" t="s">
        <v>112</v>
      </c>
      <c r="D22" s="43" t="str">
        <f>VLOOKUP(A22,GROUPINGS!$A$2:$D$46,4,FALSE)</f>
        <v>I</v>
      </c>
      <c r="E22" s="11" t="s">
        <v>12</v>
      </c>
      <c r="F22" s="19" t="e">
        <f>(N22/#REF!)*0.5+(S22/#REF!)*0.2+(T22/#REF!)*0.1+(U22/#REF!)*0.1+(SUM(V22/#REF!)*0.05+(AL22/#REF!)*0.05)</f>
        <v>#REF!</v>
      </c>
      <c r="G22" s="19" t="e">
        <f>F22/#REF!</f>
        <v>#REF!</v>
      </c>
      <c r="H22" s="5">
        <v>69</v>
      </c>
      <c r="I22" s="55">
        <v>70</v>
      </c>
      <c r="J22" s="5">
        <v>94</v>
      </c>
      <c r="K22" s="55">
        <f>VLOOKUP(A22,Table1[[student id]:[exam 4 %]],8,FALSE)</f>
        <v>74.285714285714292</v>
      </c>
      <c r="L22" s="5">
        <v>53</v>
      </c>
      <c r="M22" s="39">
        <v>82</v>
      </c>
      <c r="N22" s="94">
        <f>SUMPRODUCT(LARGE(H22:M22,{1,2,3,4,5}))/5</f>
        <v>77.857142857142861</v>
      </c>
      <c r="O22" s="93">
        <f>AVERAGE(SUMPRODUCT((LARGE(H22:L22,{1,2,3,4}))/4),M22)</f>
        <v>79.410714285714278</v>
      </c>
      <c r="P22" s="9">
        <v>81</v>
      </c>
      <c r="Q22" s="9">
        <v>82</v>
      </c>
      <c r="R22" s="9">
        <v>95</v>
      </c>
      <c r="S22" s="10">
        <f t="shared" si="0"/>
        <v>86</v>
      </c>
      <c r="T22" s="9">
        <v>50</v>
      </c>
      <c r="U22" s="18">
        <v>78</v>
      </c>
      <c r="V22" s="85">
        <f t="shared" si="1"/>
        <v>71.428571428571431</v>
      </c>
      <c r="W22" s="13">
        <v>1</v>
      </c>
      <c r="X22" s="34"/>
      <c r="Y22" s="13">
        <v>1</v>
      </c>
      <c r="Z22" s="14">
        <v>1</v>
      </c>
      <c r="AA22" s="13">
        <v>1</v>
      </c>
      <c r="AB22" s="14">
        <v>1</v>
      </c>
      <c r="AC22" s="13">
        <v>1</v>
      </c>
      <c r="AD22" s="14">
        <v>1</v>
      </c>
      <c r="AE22" s="13">
        <v>1</v>
      </c>
      <c r="AF22" s="31"/>
      <c r="AG22" s="34"/>
      <c r="AH22" s="13">
        <v>1</v>
      </c>
      <c r="AI22" s="13">
        <v>1</v>
      </c>
      <c r="AJ22" s="34"/>
      <c r="AK22" s="34"/>
      <c r="AL22" s="96">
        <f t="shared" si="2"/>
        <v>71.428571428571431</v>
      </c>
    </row>
    <row r="23" spans="1:39" x14ac:dyDescent="0.2">
      <c r="A23" s="61" t="s">
        <v>31</v>
      </c>
      <c r="B23" s="33" t="s">
        <v>32</v>
      </c>
      <c r="C23" s="33" t="s">
        <v>33</v>
      </c>
      <c r="D23" s="43" t="str">
        <f>VLOOKUP(A23,GROUPINGS!$A$2:$D$46,4,FALSE)</f>
        <v>K</v>
      </c>
      <c r="E23" s="11" t="s">
        <v>11</v>
      </c>
      <c r="F23" s="19" t="e">
        <f>(N23/#REF!)*0.5+(S23/#REF!)*0.2+(T23/#REF!)*0.1+(U23/#REF!)*0.1+(SUM(V23/#REF!)*0.05+(AL23/#REF!)*0.05)</f>
        <v>#REF!</v>
      </c>
      <c r="G23" s="19" t="e">
        <f>F23/#REF!</f>
        <v>#REF!</v>
      </c>
      <c r="H23" s="5">
        <v>63</v>
      </c>
      <c r="I23" s="55">
        <v>65</v>
      </c>
      <c r="J23" s="5">
        <v>67</v>
      </c>
      <c r="K23" s="55">
        <f>VLOOKUP(A23,Table1[[student id]:[exam 4 %]],8,FALSE)</f>
        <v>42.857142857142854</v>
      </c>
      <c r="L23" s="5">
        <v>57</v>
      </c>
      <c r="M23" s="39">
        <v>70</v>
      </c>
      <c r="N23" s="94">
        <f>SUMPRODUCT(LARGE(H23:M23,{1,2,3,4,5}))/5</f>
        <v>64.400000000000006</v>
      </c>
      <c r="O23" s="93">
        <f>AVERAGE(SUMPRODUCT((LARGE(H23:L23,{1,2,3,4}))/4),M23)</f>
        <v>66.5</v>
      </c>
      <c r="P23" s="9">
        <v>89</v>
      </c>
      <c r="Q23" s="9">
        <v>85</v>
      </c>
      <c r="R23" s="9">
        <v>79</v>
      </c>
      <c r="S23" s="10">
        <f t="shared" si="0"/>
        <v>84.333333333333329</v>
      </c>
      <c r="T23" s="9">
        <v>50</v>
      </c>
      <c r="U23" s="18">
        <v>57</v>
      </c>
      <c r="V23" s="85">
        <f t="shared" si="1"/>
        <v>50</v>
      </c>
      <c r="W23" s="13">
        <v>1</v>
      </c>
      <c r="X23" s="34"/>
      <c r="Y23" s="13">
        <v>1</v>
      </c>
      <c r="Z23" s="14">
        <v>1</v>
      </c>
      <c r="AA23" s="34"/>
      <c r="AB23" s="14">
        <v>1</v>
      </c>
      <c r="AC23" s="13">
        <v>1</v>
      </c>
      <c r="AD23" s="14"/>
      <c r="AE23" s="13">
        <v>1</v>
      </c>
      <c r="AF23" s="31"/>
      <c r="AG23" s="34"/>
      <c r="AH23" s="34"/>
      <c r="AI23" s="34"/>
      <c r="AJ23" s="30">
        <v>1</v>
      </c>
      <c r="AK23" s="30"/>
      <c r="AL23" s="96">
        <f t="shared" si="2"/>
        <v>50</v>
      </c>
    </row>
    <row r="24" spans="1:39" x14ac:dyDescent="0.2">
      <c r="A24" s="61" t="s">
        <v>52</v>
      </c>
      <c r="B24" s="33" t="s">
        <v>53</v>
      </c>
      <c r="C24" s="33" t="s">
        <v>54</v>
      </c>
      <c r="D24" s="43" t="str">
        <f>VLOOKUP(A24,GROUPINGS!$A$2:$D$46,4,FALSE)</f>
        <v>K</v>
      </c>
      <c r="E24" s="11" t="s">
        <v>12</v>
      </c>
      <c r="F24" s="19" t="e">
        <f>(N24/#REF!)*0.5+(S24/#REF!)*0.2+(T24/#REF!)*0.1+(U24/#REF!)*0.1+(SUM(V24/#REF!)*0.05+(AL24/#REF!)*0.05)</f>
        <v>#REF!</v>
      </c>
      <c r="G24" s="19" t="e">
        <f>F24/#REF!</f>
        <v>#REF!</v>
      </c>
      <c r="H24" s="5">
        <v>60</v>
      </c>
      <c r="I24" s="55">
        <v>63</v>
      </c>
      <c r="J24" s="5">
        <v>67</v>
      </c>
      <c r="K24" s="55">
        <v>74</v>
      </c>
      <c r="L24" s="62">
        <v>0</v>
      </c>
      <c r="M24" s="39">
        <v>66</v>
      </c>
      <c r="N24" s="94">
        <f>SUMPRODUCT(LARGE(H24:M24,{1,2,3,4,5}))/5</f>
        <v>66</v>
      </c>
      <c r="O24" s="93">
        <f>AVERAGE(SUMPRODUCT((LARGE(H24:L24,{1,2,3,4}))/4),M24)</f>
        <v>66</v>
      </c>
      <c r="P24" s="9">
        <v>89</v>
      </c>
      <c r="Q24" s="9">
        <v>85</v>
      </c>
      <c r="R24" s="9">
        <v>79</v>
      </c>
      <c r="S24" s="10">
        <f t="shared" si="0"/>
        <v>84.333333333333329</v>
      </c>
      <c r="T24" s="9">
        <v>100</v>
      </c>
      <c r="U24" s="18">
        <v>86</v>
      </c>
      <c r="V24" s="85">
        <f t="shared" si="1"/>
        <v>42.857142857142854</v>
      </c>
      <c r="W24" s="13">
        <v>1</v>
      </c>
      <c r="X24" s="14">
        <v>1</v>
      </c>
      <c r="Y24" s="13">
        <v>1</v>
      </c>
      <c r="Z24" s="14">
        <v>1</v>
      </c>
      <c r="AA24" s="34"/>
      <c r="AB24" s="14">
        <v>1</v>
      </c>
      <c r="AC24" s="34"/>
      <c r="AD24" s="34"/>
      <c r="AE24" s="13">
        <v>1</v>
      </c>
      <c r="AF24" s="31"/>
      <c r="AG24" s="34"/>
      <c r="AH24" s="34"/>
      <c r="AI24" s="34"/>
      <c r="AJ24" s="34"/>
      <c r="AK24" s="34"/>
      <c r="AL24" s="96">
        <f t="shared" si="2"/>
        <v>42.857142857142854</v>
      </c>
    </row>
    <row r="25" spans="1:39" x14ac:dyDescent="0.2">
      <c r="A25" s="61" t="s">
        <v>49</v>
      </c>
      <c r="B25" s="33" t="s">
        <v>50</v>
      </c>
      <c r="C25" s="33" t="s">
        <v>51</v>
      </c>
      <c r="D25" s="43" t="str">
        <f>VLOOKUP(A25,GROUPINGS!$A$2:$D$46,4,FALSE)</f>
        <v>L</v>
      </c>
      <c r="E25" s="11" t="s">
        <v>12</v>
      </c>
      <c r="F25" s="19" t="e">
        <f>(N25/#REF!)*0.5+(S25/#REF!)*0.2+(T25/#REF!)*0.1+(U25/#REF!)*0.1+(SUM(V25/#REF!)*0.05+(AL25/#REF!)*0.05)</f>
        <v>#REF!</v>
      </c>
      <c r="G25" s="19" t="e">
        <f>F25/#REF!</f>
        <v>#REF!</v>
      </c>
      <c r="H25" s="5">
        <v>63</v>
      </c>
      <c r="I25" s="55">
        <v>68</v>
      </c>
      <c r="J25" s="5">
        <v>94</v>
      </c>
      <c r="K25" s="55">
        <f>VLOOKUP(A25,Table1[[student id]:[exam 4 %]],8,FALSE)</f>
        <v>68.571428571428569</v>
      </c>
      <c r="L25" s="5">
        <v>60</v>
      </c>
      <c r="M25" s="39">
        <v>64</v>
      </c>
      <c r="N25" s="94">
        <f>SUMPRODUCT(LARGE(H25:M25,{1,2,3,4,5}))/5</f>
        <v>71.514285714285705</v>
      </c>
      <c r="O25" s="93">
        <f>AVERAGE(SUMPRODUCT((LARGE(H25:L25,{1,2,3,4}))/4),M25)</f>
        <v>68.696428571428569</v>
      </c>
      <c r="P25" s="9">
        <v>94</v>
      </c>
      <c r="Q25" s="9">
        <v>100</v>
      </c>
      <c r="R25" s="9">
        <v>99</v>
      </c>
      <c r="S25" s="10">
        <f t="shared" si="0"/>
        <v>97.666666666666671</v>
      </c>
      <c r="T25" s="9">
        <v>0</v>
      </c>
      <c r="U25" s="18">
        <v>22</v>
      </c>
      <c r="V25" s="85">
        <f t="shared" si="1"/>
        <v>42.857142857142854</v>
      </c>
      <c r="W25" s="13">
        <v>1</v>
      </c>
      <c r="X25" s="34"/>
      <c r="Y25" s="34"/>
      <c r="Z25" s="34"/>
      <c r="AA25" s="34"/>
      <c r="AB25" s="14">
        <v>1</v>
      </c>
      <c r="AC25" s="13">
        <v>1</v>
      </c>
      <c r="AD25" s="34"/>
      <c r="AE25" s="34"/>
      <c r="AF25" s="31"/>
      <c r="AG25" s="13">
        <v>1</v>
      </c>
      <c r="AH25" s="13">
        <v>1</v>
      </c>
      <c r="AI25" s="34"/>
      <c r="AJ25" s="30">
        <v>1</v>
      </c>
      <c r="AK25" s="30"/>
      <c r="AL25" s="96">
        <f t="shared" si="2"/>
        <v>42.857142857142854</v>
      </c>
    </row>
    <row r="26" spans="1:39" x14ac:dyDescent="0.2">
      <c r="A26" s="61" t="s">
        <v>139</v>
      </c>
      <c r="B26" s="33" t="s">
        <v>140</v>
      </c>
      <c r="C26" s="33" t="s">
        <v>154</v>
      </c>
      <c r="D26" s="43" t="str">
        <f>VLOOKUP(A26,GROUPINGS!$A$2:$D$46,4,FALSE)</f>
        <v>L</v>
      </c>
      <c r="E26" s="11" t="s">
        <v>11</v>
      </c>
      <c r="F26" s="19" t="e">
        <f>(N26/#REF!)*0.5+(S26/#REF!)*0.2+(T26/#REF!)*0.1+(U26/#REF!)*0.1+(SUM(V26/#REF!)*0.05+(AL26/#REF!)*0.05)</f>
        <v>#REF!</v>
      </c>
      <c r="G26" s="19" t="e">
        <f>F26/#REF!</f>
        <v>#REF!</v>
      </c>
      <c r="H26" s="5">
        <v>63</v>
      </c>
      <c r="I26" s="55">
        <v>65</v>
      </c>
      <c r="J26" s="5">
        <v>70</v>
      </c>
      <c r="K26" s="55">
        <f>VLOOKUP(A26,Table1[[student id]:[exam 4 %]],8,FALSE)</f>
        <v>74.285714285714292</v>
      </c>
      <c r="L26" s="5">
        <v>60</v>
      </c>
      <c r="M26" s="39">
        <v>80</v>
      </c>
      <c r="N26" s="94">
        <f>SUMPRODUCT(LARGE(H26:M26,{1,2,3,4,5}))/5</f>
        <v>70.457142857142856</v>
      </c>
      <c r="O26" s="93">
        <f>AVERAGE(SUMPRODUCT((LARGE(H26:L26,{1,2,3,4}))/4),M26)</f>
        <v>74.035714285714278</v>
      </c>
      <c r="P26" s="9">
        <v>94</v>
      </c>
      <c r="Q26" s="9">
        <v>100</v>
      </c>
      <c r="R26" s="9">
        <v>99</v>
      </c>
      <c r="S26" s="10">
        <f t="shared" si="0"/>
        <v>97.666666666666671</v>
      </c>
      <c r="T26" s="9">
        <v>100</v>
      </c>
      <c r="U26" s="18">
        <v>90</v>
      </c>
      <c r="V26" s="85">
        <f t="shared" si="1"/>
        <v>128.57142857142858</v>
      </c>
      <c r="W26" s="13">
        <v>1</v>
      </c>
      <c r="X26">
        <v>1</v>
      </c>
      <c r="Y26" s="13">
        <v>1</v>
      </c>
      <c r="Z26" s="14">
        <v>1</v>
      </c>
      <c r="AA26" s="13">
        <v>1</v>
      </c>
      <c r="AB26" s="14">
        <v>1</v>
      </c>
      <c r="AC26" s="13">
        <v>1</v>
      </c>
      <c r="AD26" s="14">
        <v>1</v>
      </c>
      <c r="AE26" s="13">
        <v>1</v>
      </c>
      <c r="AF26" s="31">
        <v>5</v>
      </c>
      <c r="AG26" s="13">
        <v>1</v>
      </c>
      <c r="AH26" s="13">
        <v>1</v>
      </c>
      <c r="AI26" s="13">
        <v>1</v>
      </c>
      <c r="AJ26" s="30">
        <v>1</v>
      </c>
      <c r="AK26" s="30"/>
      <c r="AL26" s="96">
        <f t="shared" si="2"/>
        <v>128.57142857142858</v>
      </c>
    </row>
    <row r="27" spans="1:39" x14ac:dyDescent="0.2">
      <c r="A27" s="61" t="s">
        <v>61</v>
      </c>
      <c r="B27" s="33" t="s">
        <v>62</v>
      </c>
      <c r="C27" s="33" t="s">
        <v>150</v>
      </c>
      <c r="D27" s="43" t="str">
        <f>VLOOKUP(A27,GROUPINGS!$A$2:$D$46,4,FALSE)</f>
        <v>M</v>
      </c>
      <c r="E27" s="11" t="s">
        <v>11</v>
      </c>
      <c r="F27" s="19" t="e">
        <f>(N27/#REF!)*0.5+(S27/#REF!)*0.2+(T27/#REF!)*0.1+(U27/#REF!)*0.1+(SUM(V27/#REF!)*0.05+(AL27/#REF!)*0.05)</f>
        <v>#REF!</v>
      </c>
      <c r="G27" s="19" t="e">
        <f>F27/#REF!</f>
        <v>#REF!</v>
      </c>
      <c r="H27" s="5">
        <v>89</v>
      </c>
      <c r="I27" s="55">
        <v>85</v>
      </c>
      <c r="J27" s="5">
        <v>82</v>
      </c>
      <c r="K27" s="55">
        <f>VLOOKUP(A27,Table1[[student id]:[exam 4 %]],8,FALSE)</f>
        <v>82.857142857142861</v>
      </c>
      <c r="L27" s="5">
        <v>57</v>
      </c>
      <c r="M27" s="39">
        <v>90</v>
      </c>
      <c r="N27" s="94">
        <f>SUMPRODUCT(LARGE(H27:M27,{1,2,3,4,5}))/5</f>
        <v>85.771428571428572</v>
      </c>
      <c r="O27" s="93">
        <f>AVERAGE(SUMPRODUCT((LARGE(H27:L27,{1,2,3,4}))/4),M27)</f>
        <v>87.357142857142861</v>
      </c>
      <c r="P27" s="9">
        <v>94</v>
      </c>
      <c r="Q27" s="9">
        <v>87</v>
      </c>
      <c r="R27" s="9">
        <v>92</v>
      </c>
      <c r="S27" s="10">
        <f t="shared" si="0"/>
        <v>91</v>
      </c>
      <c r="T27" s="9">
        <v>50</v>
      </c>
      <c r="U27" s="18">
        <v>81</v>
      </c>
      <c r="V27" s="85">
        <f t="shared" si="1"/>
        <v>121.42857142857142</v>
      </c>
      <c r="W27" s="21">
        <v>1</v>
      </c>
      <c r="X27" s="14">
        <v>1</v>
      </c>
      <c r="Y27" s="13">
        <v>1</v>
      </c>
      <c r="Z27" s="14">
        <v>1</v>
      </c>
      <c r="AA27" s="13">
        <v>1</v>
      </c>
      <c r="AB27" s="14">
        <v>1</v>
      </c>
      <c r="AC27" s="13">
        <v>1</v>
      </c>
      <c r="AD27" s="14">
        <v>1</v>
      </c>
      <c r="AE27" s="34"/>
      <c r="AF27" s="31">
        <v>5</v>
      </c>
      <c r="AG27" s="13">
        <v>1</v>
      </c>
      <c r="AH27" s="13">
        <v>1</v>
      </c>
      <c r="AI27" s="13">
        <v>1</v>
      </c>
      <c r="AJ27" s="30">
        <v>1</v>
      </c>
      <c r="AK27" s="30"/>
      <c r="AL27" s="96">
        <f t="shared" si="2"/>
        <v>121.42857142857142</v>
      </c>
    </row>
    <row r="28" spans="1:39" x14ac:dyDescent="0.2">
      <c r="A28" s="61" t="s">
        <v>34</v>
      </c>
      <c r="B28" s="33" t="s">
        <v>35</v>
      </c>
      <c r="C28" s="33" t="s">
        <v>36</v>
      </c>
      <c r="D28" s="43" t="str">
        <f>VLOOKUP(A28,GROUPINGS!$A$2:$D$46,4,FALSE)</f>
        <v>M</v>
      </c>
      <c r="E28" s="11" t="s">
        <v>12</v>
      </c>
      <c r="F28" s="19" t="e">
        <f>(N28/#REF!)*0.5+(S28/#REF!)*0.2+(T28/#REF!)*0.1+(U28/#REF!)*0.1+(SUM(V28/#REF!)*0.05+(AL28/#REF!)*0.05)</f>
        <v>#REF!</v>
      </c>
      <c r="G28" s="19" t="e">
        <f>F28/#REF!</f>
        <v>#REF!</v>
      </c>
      <c r="H28" s="5">
        <v>80</v>
      </c>
      <c r="I28" s="55">
        <v>53</v>
      </c>
      <c r="J28" s="5">
        <v>82</v>
      </c>
      <c r="K28" s="55">
        <f>VLOOKUP(A28,Table1[[student id]:[exam 4 %]],8,FALSE)</f>
        <v>34.285714285714285</v>
      </c>
      <c r="L28" s="5">
        <v>50</v>
      </c>
      <c r="M28" s="39">
        <v>46</v>
      </c>
      <c r="N28" s="94">
        <f>SUMPRODUCT(LARGE(H28:M28,{1,2,3,4,5}))/5</f>
        <v>62.2</v>
      </c>
      <c r="O28" s="93">
        <f>AVERAGE(SUMPRODUCT((LARGE(H28:L28,{1,2,3,4}))/4),M28)</f>
        <v>56.125</v>
      </c>
      <c r="P28" s="9">
        <v>94</v>
      </c>
      <c r="Q28" s="79">
        <v>87</v>
      </c>
      <c r="R28" s="9">
        <v>92</v>
      </c>
      <c r="S28" s="10">
        <f t="shared" si="0"/>
        <v>91</v>
      </c>
      <c r="T28" s="9">
        <v>100</v>
      </c>
      <c r="U28" s="18">
        <v>33</v>
      </c>
      <c r="V28" s="85">
        <f t="shared" si="1"/>
        <v>71.428571428571431</v>
      </c>
      <c r="W28" s="13">
        <v>1</v>
      </c>
      <c r="X28" s="34"/>
      <c r="Y28" s="13">
        <v>1</v>
      </c>
      <c r="Z28" s="14">
        <v>1</v>
      </c>
      <c r="AA28" s="13">
        <v>1</v>
      </c>
      <c r="AB28" s="14">
        <v>1</v>
      </c>
      <c r="AC28" s="13">
        <v>1</v>
      </c>
      <c r="AD28" s="14">
        <v>1</v>
      </c>
      <c r="AE28" s="13">
        <v>1</v>
      </c>
      <c r="AF28" s="31"/>
      <c r="AG28" s="34"/>
      <c r="AH28" s="13">
        <v>1</v>
      </c>
      <c r="AI28" s="13">
        <v>1</v>
      </c>
      <c r="AJ28" s="34"/>
      <c r="AK28" s="34"/>
      <c r="AL28" s="96">
        <f t="shared" si="2"/>
        <v>71.428571428571431</v>
      </c>
    </row>
    <row r="29" spans="1:39" x14ac:dyDescent="0.2">
      <c r="A29" s="61" t="s">
        <v>63</v>
      </c>
      <c r="B29" s="33" t="s">
        <v>64</v>
      </c>
      <c r="C29" s="33" t="s">
        <v>157</v>
      </c>
      <c r="D29" s="43" t="str">
        <f>VLOOKUP(A29,GROUPINGS!$A$2:$D$46,4,FALSE)</f>
        <v>M</v>
      </c>
      <c r="E29" s="11" t="s">
        <v>11</v>
      </c>
      <c r="F29" s="19" t="e">
        <f>(N29/#REF!)*0.5+(S29/#REF!)*0.2+(T29/#REF!)*0.1+(U29/#REF!)*0.1+(SUM(V29/#REF!)*0.05+(AL29/#REF!)*0.05)</f>
        <v>#REF!</v>
      </c>
      <c r="G29" s="19" t="e">
        <f>F29/#REF!</f>
        <v>#REF!</v>
      </c>
      <c r="H29" s="5">
        <v>60</v>
      </c>
      <c r="I29" s="55">
        <v>60</v>
      </c>
      <c r="J29" s="5">
        <v>73</v>
      </c>
      <c r="K29" s="55">
        <f>VLOOKUP(A29,Table1[[student id]:[exam 4 %]],8,FALSE)</f>
        <v>62.857142857142854</v>
      </c>
      <c r="L29" s="62">
        <v>0</v>
      </c>
      <c r="M29" s="39">
        <v>76</v>
      </c>
      <c r="N29" s="94">
        <f>SUMPRODUCT(LARGE(H29:M29,{1,2,3,4,5}))/5</f>
        <v>66.371428571428581</v>
      </c>
      <c r="O29" s="93">
        <f>AVERAGE(SUMPRODUCT((LARGE(H29:L29,{1,2,3,4}))/4),M29)</f>
        <v>69.982142857142861</v>
      </c>
      <c r="P29" s="9">
        <v>94</v>
      </c>
      <c r="Q29" s="9">
        <v>87</v>
      </c>
      <c r="R29" s="9">
        <v>92</v>
      </c>
      <c r="S29" s="10">
        <f t="shared" si="0"/>
        <v>91</v>
      </c>
      <c r="T29" s="9">
        <v>100</v>
      </c>
      <c r="U29" s="18">
        <v>70</v>
      </c>
      <c r="V29" s="85">
        <f t="shared" si="1"/>
        <v>71.428571428571431</v>
      </c>
      <c r="W29" s="34"/>
      <c r="X29" s="34"/>
      <c r="Y29" s="34"/>
      <c r="Z29" s="14">
        <v>1</v>
      </c>
      <c r="AA29" s="13">
        <v>1</v>
      </c>
      <c r="AB29" s="14">
        <v>1</v>
      </c>
      <c r="AC29" s="13">
        <v>1</v>
      </c>
      <c r="AD29" s="14">
        <v>1</v>
      </c>
      <c r="AE29" s="13">
        <v>1</v>
      </c>
      <c r="AF29" s="31"/>
      <c r="AG29" s="13">
        <v>1</v>
      </c>
      <c r="AH29" s="13">
        <v>1</v>
      </c>
      <c r="AI29" s="13">
        <v>1</v>
      </c>
      <c r="AJ29" s="30">
        <v>1</v>
      </c>
      <c r="AK29" s="30"/>
      <c r="AL29" s="96">
        <f t="shared" si="2"/>
        <v>71.428571428571431</v>
      </c>
    </row>
    <row r="30" spans="1:39" x14ac:dyDescent="0.2">
      <c r="A30" s="61" t="s">
        <v>135</v>
      </c>
      <c r="B30" s="33" t="s">
        <v>136</v>
      </c>
      <c r="C30" s="33" t="s">
        <v>137</v>
      </c>
      <c r="D30" s="43" t="str">
        <f>VLOOKUP(A30,GROUPINGS!$A$2:$D$46,4,FALSE)</f>
        <v>N</v>
      </c>
      <c r="E30" s="11" t="s">
        <v>11</v>
      </c>
      <c r="F30" s="19" t="e">
        <f>(N30/#REF!)*0.5+(S30/#REF!)*0.2+(T30/#REF!)*0.1+(U30/#REF!)*0.1+(SUM(V30/#REF!)*0.05+(AL30/#REF!)*0.05)</f>
        <v>#REF!</v>
      </c>
      <c r="G30" s="19" t="e">
        <f>F30/#REF!</f>
        <v>#REF!</v>
      </c>
      <c r="H30" s="5">
        <v>54</v>
      </c>
      <c r="I30" s="55">
        <v>38</v>
      </c>
      <c r="J30" s="5">
        <v>61</v>
      </c>
      <c r="K30" s="55">
        <f>VLOOKUP(A30,Table1[[student id]:[exam 4 %]],8,FALSE)</f>
        <v>65.714285714285708</v>
      </c>
      <c r="L30" s="5">
        <v>37</v>
      </c>
      <c r="M30" s="39">
        <v>20</v>
      </c>
      <c r="N30" s="94">
        <f>SUMPRODUCT(LARGE(H30:M30,{1,2,3,4,5}))/5</f>
        <v>51.142857142857146</v>
      </c>
      <c r="O30" s="93">
        <v>51</v>
      </c>
      <c r="P30" s="9">
        <v>68</v>
      </c>
      <c r="Q30" s="9">
        <v>58</v>
      </c>
      <c r="R30" s="9">
        <v>82</v>
      </c>
      <c r="S30" s="10">
        <f t="shared" si="0"/>
        <v>69.333333333333329</v>
      </c>
      <c r="T30" s="9">
        <v>100</v>
      </c>
      <c r="U30" s="18">
        <v>97</v>
      </c>
      <c r="V30" s="85">
        <f t="shared" si="1"/>
        <v>114.28571428571428</v>
      </c>
      <c r="W30" s="13">
        <v>1</v>
      </c>
      <c r="X30" s="14">
        <v>1</v>
      </c>
      <c r="Y30" s="13">
        <v>1</v>
      </c>
      <c r="Z30" s="14">
        <v>1</v>
      </c>
      <c r="AA30" s="13">
        <v>1</v>
      </c>
      <c r="AB30" s="14">
        <v>1</v>
      </c>
      <c r="AC30" s="13">
        <v>1</v>
      </c>
      <c r="AD30" s="14">
        <v>1</v>
      </c>
      <c r="AE30" s="34"/>
      <c r="AF30" s="31">
        <v>5</v>
      </c>
      <c r="AG30" s="13">
        <v>1</v>
      </c>
      <c r="AH30" s="13">
        <v>1</v>
      </c>
      <c r="AI30" s="34"/>
      <c r="AJ30" s="30">
        <v>1</v>
      </c>
      <c r="AK30" s="30"/>
      <c r="AL30" s="96">
        <f t="shared" si="2"/>
        <v>114.28571428571428</v>
      </c>
    </row>
    <row r="31" spans="1:39" x14ac:dyDescent="0.2">
      <c r="A31" s="61" t="s">
        <v>118</v>
      </c>
      <c r="B31" s="33" t="s">
        <v>119</v>
      </c>
      <c r="C31" s="33" t="s">
        <v>120</v>
      </c>
      <c r="D31" s="43" t="str">
        <f>VLOOKUP(A31,GROUPINGS!$A$2:$D$46,4,FALSE)</f>
        <v>N</v>
      </c>
      <c r="E31" s="11" t="s">
        <v>11</v>
      </c>
      <c r="F31" s="19" t="e">
        <f>(N31/#REF!)*0.5+(S31/#REF!)*0.2+(T31/#REF!)*0.1+(U31/#REF!)*0.1+(SUM(V31/#REF!)*0.05+(AL31/#REF!)*0.05)</f>
        <v>#REF!</v>
      </c>
      <c r="G31" s="19" t="e">
        <f>F31/#REF!</f>
        <v>#REF!</v>
      </c>
      <c r="H31" s="5">
        <v>54</v>
      </c>
      <c r="I31" s="55">
        <v>35</v>
      </c>
      <c r="J31" s="5">
        <v>42</v>
      </c>
      <c r="K31" s="55">
        <f>VLOOKUP(A31,Table1[[student id]:[exam 4 %]],8,FALSE)</f>
        <v>51.428571428571423</v>
      </c>
      <c r="L31" s="5">
        <v>43</v>
      </c>
      <c r="M31" s="39">
        <v>34</v>
      </c>
      <c r="N31" s="94">
        <f>SUMPRODUCT(LARGE(H31:M31,{1,2,3,4,5}))/5</f>
        <v>45.085714285714282</v>
      </c>
      <c r="O31" s="93">
        <f>AVERAGE(SUMPRODUCT((LARGE(H31:L31,{1,2,3,4}))/4),M31)</f>
        <v>40.803571428571431</v>
      </c>
      <c r="P31" s="9">
        <v>68</v>
      </c>
      <c r="Q31" s="9">
        <v>58</v>
      </c>
      <c r="R31" s="9">
        <v>82</v>
      </c>
      <c r="S31" s="10">
        <f t="shared" si="0"/>
        <v>69.333333333333329</v>
      </c>
      <c r="T31" s="9">
        <v>100</v>
      </c>
      <c r="U31" s="18">
        <v>99</v>
      </c>
      <c r="V31" s="85">
        <f t="shared" si="1"/>
        <v>64.285714285714292</v>
      </c>
      <c r="W31" s="13">
        <v>1</v>
      </c>
      <c r="X31" s="14">
        <v>1</v>
      </c>
      <c r="Y31" s="13">
        <v>1</v>
      </c>
      <c r="Z31" s="14">
        <v>1</v>
      </c>
      <c r="AA31" s="13">
        <v>1</v>
      </c>
      <c r="AB31" s="14">
        <v>1</v>
      </c>
      <c r="AC31" s="13">
        <v>1</v>
      </c>
      <c r="AD31" s="14">
        <v>1</v>
      </c>
      <c r="AE31" s="13">
        <v>1</v>
      </c>
      <c r="AF31" s="31"/>
      <c r="AG31" s="13">
        <v>1</v>
      </c>
      <c r="AH31" s="13">
        <v>1</v>
      </c>
      <c r="AI31" s="80">
        <v>-3</v>
      </c>
      <c r="AJ31" s="30">
        <v>1</v>
      </c>
      <c r="AK31" s="30"/>
      <c r="AL31" s="96">
        <f t="shared" si="2"/>
        <v>64.285714285714292</v>
      </c>
    </row>
    <row r="32" spans="1:39" x14ac:dyDescent="0.2">
      <c r="A32" s="61" t="s">
        <v>37</v>
      </c>
      <c r="B32" s="33" t="s">
        <v>38</v>
      </c>
      <c r="C32" s="33" t="s">
        <v>39</v>
      </c>
      <c r="D32" s="43" t="str">
        <f>VLOOKUP(A32,GROUPINGS!$A$2:$D$46,4,FALSE)</f>
        <v>O</v>
      </c>
      <c r="E32" s="11" t="s">
        <v>12</v>
      </c>
      <c r="F32" s="19" t="e">
        <f>(N32/#REF!)*0.5+(S32/#REF!)*0.2+(T32/#REF!)*0.1+(U32/#REF!)*0.1+(SUM(V32/#REF!)*0.05+(AL32/#REF!)*0.05)</f>
        <v>#REF!</v>
      </c>
      <c r="G32" s="19" t="e">
        <f>F32/#REF!</f>
        <v>#REF!</v>
      </c>
      <c r="H32" s="5">
        <v>83</v>
      </c>
      <c r="I32" s="55">
        <v>55</v>
      </c>
      <c r="J32" s="5">
        <v>64</v>
      </c>
      <c r="K32" s="55">
        <f>VLOOKUP(A32,Table1[[student id]:[exam 4 %]],8,FALSE)</f>
        <v>65.714285714285708</v>
      </c>
      <c r="L32" s="5">
        <v>57</v>
      </c>
      <c r="M32" s="39">
        <v>64</v>
      </c>
      <c r="N32" s="94">
        <f>SUMPRODUCT(LARGE(H32:M32,{1,2,3,4,5}))/5</f>
        <v>66.742857142857147</v>
      </c>
      <c r="O32" s="93">
        <f>AVERAGE(SUMPRODUCT((LARGE(H32:L32,{1,2,3,4}))/4),M32)</f>
        <v>65.714285714285722</v>
      </c>
      <c r="P32" s="9">
        <v>50</v>
      </c>
      <c r="Q32" s="9">
        <v>85</v>
      </c>
      <c r="R32" s="9">
        <v>79</v>
      </c>
      <c r="S32" s="10">
        <f t="shared" si="0"/>
        <v>71.333333333333329</v>
      </c>
      <c r="T32" s="9">
        <v>100</v>
      </c>
      <c r="U32" s="18">
        <v>96</v>
      </c>
      <c r="V32" s="85">
        <f t="shared" si="1"/>
        <v>78.571428571428569</v>
      </c>
      <c r="W32" s="13">
        <v>1</v>
      </c>
      <c r="X32" s="14">
        <v>1</v>
      </c>
      <c r="Y32" s="13">
        <v>1</v>
      </c>
      <c r="Z32" s="34"/>
      <c r="AA32" s="13">
        <v>1</v>
      </c>
      <c r="AB32" s="14">
        <v>1</v>
      </c>
      <c r="AC32" s="13">
        <v>1</v>
      </c>
      <c r="AD32" s="14">
        <v>1</v>
      </c>
      <c r="AE32" s="13">
        <v>1</v>
      </c>
      <c r="AF32" s="31"/>
      <c r="AG32" s="13">
        <v>1</v>
      </c>
      <c r="AH32" s="34"/>
      <c r="AI32" s="13">
        <v>1</v>
      </c>
      <c r="AJ32" s="30">
        <v>1</v>
      </c>
      <c r="AK32" s="30"/>
      <c r="AL32" s="96">
        <f t="shared" si="2"/>
        <v>78.571428571428569</v>
      </c>
      <c r="AM32" s="53" t="s">
        <v>185</v>
      </c>
    </row>
    <row r="33" spans="1:38" x14ac:dyDescent="0.2">
      <c r="A33" s="61" t="s">
        <v>141</v>
      </c>
      <c r="B33" s="33" t="s">
        <v>142</v>
      </c>
      <c r="C33" s="33" t="s">
        <v>143</v>
      </c>
      <c r="D33" s="43" t="str">
        <f>VLOOKUP(A33,GROUPINGS!$A$2:$D$46,4,FALSE)</f>
        <v>O</v>
      </c>
      <c r="E33" s="11" t="s">
        <v>12</v>
      </c>
      <c r="F33" s="19" t="e">
        <f>(N33/#REF!)*0.5+(S33/#REF!)*0.2+(T33/#REF!)*0.1+(U33/#REF!)*0.1+(SUM(V33/#REF!)*0.05+(AL33/#REF!)*0.05)</f>
        <v>#REF!</v>
      </c>
      <c r="G33" s="19" t="e">
        <f>F33/#REF!</f>
        <v>#REF!</v>
      </c>
      <c r="H33" s="5">
        <v>51</v>
      </c>
      <c r="I33" s="55">
        <v>73</v>
      </c>
      <c r="J33" s="5">
        <v>61</v>
      </c>
      <c r="K33" s="55">
        <f>VLOOKUP(A33,Table1[[student id]:[exam 4 %]],8,FALSE)</f>
        <v>25.714285714285712</v>
      </c>
      <c r="L33" s="5">
        <v>50</v>
      </c>
      <c r="M33" s="39">
        <v>62</v>
      </c>
      <c r="N33" s="94">
        <f>SUMPRODUCT(LARGE(H33:M33,{1,2,3,4,5}))/5</f>
        <v>59.4</v>
      </c>
      <c r="O33" s="93">
        <f>AVERAGE(SUMPRODUCT((LARGE(H33:L33,{1,2,3,4}))/4),M33)</f>
        <v>60.375</v>
      </c>
      <c r="P33" s="9">
        <v>50</v>
      </c>
      <c r="Q33" s="9">
        <v>85</v>
      </c>
      <c r="R33" s="9">
        <v>79</v>
      </c>
      <c r="S33" s="10">
        <f t="shared" si="0"/>
        <v>71.333333333333329</v>
      </c>
      <c r="T33" s="9">
        <v>100</v>
      </c>
      <c r="U33" s="18">
        <v>49</v>
      </c>
      <c r="V33" s="85">
        <f t="shared" si="1"/>
        <v>50</v>
      </c>
      <c r="W33" s="13">
        <v>1</v>
      </c>
      <c r="X33" s="14">
        <v>1</v>
      </c>
      <c r="Y33" s="13">
        <v>1</v>
      </c>
      <c r="Z33" s="14">
        <v>1</v>
      </c>
      <c r="AA33" s="13">
        <v>1</v>
      </c>
      <c r="AB33" s="14">
        <v>1</v>
      </c>
      <c r="AC33" s="34"/>
      <c r="AD33" s="34"/>
      <c r="AE33" s="34"/>
      <c r="AF33" s="31"/>
      <c r="AG33" s="13">
        <v>1</v>
      </c>
      <c r="AH33" s="34"/>
      <c r="AI33" s="34"/>
      <c r="AJ33" s="34"/>
      <c r="AK33" s="34"/>
      <c r="AL33" s="96">
        <f t="shared" si="2"/>
        <v>50</v>
      </c>
    </row>
    <row r="34" spans="1:38" x14ac:dyDescent="0.2">
      <c r="A34" s="61" t="s">
        <v>107</v>
      </c>
      <c r="B34" s="33" t="s">
        <v>108</v>
      </c>
      <c r="C34" s="33" t="s">
        <v>109</v>
      </c>
      <c r="D34" s="43" t="str">
        <f>VLOOKUP(A34,GROUPINGS!$A$2:$D$46,4,FALSE)</f>
        <v>P</v>
      </c>
      <c r="E34" s="11" t="s">
        <v>12</v>
      </c>
      <c r="F34" s="19" t="e">
        <f>(N34/#REF!)*0.5+(S34/#REF!)*0.2+(T34/#REF!)*0.1+(U34/#REF!)*0.1+(SUM(V34/#REF!)*0.05+(AL34/#REF!)*0.05)</f>
        <v>#REF!</v>
      </c>
      <c r="G34" s="19" t="e">
        <f>F34/#REF!</f>
        <v>#REF!</v>
      </c>
      <c r="H34" s="5">
        <v>89</v>
      </c>
      <c r="I34" s="55">
        <v>80</v>
      </c>
      <c r="J34" s="5">
        <v>97</v>
      </c>
      <c r="K34" s="55">
        <f>VLOOKUP(A34,Table1[[student id]:[exam 4 %]],8,FALSE)</f>
        <v>82.857142857142861</v>
      </c>
      <c r="L34" s="5">
        <v>100</v>
      </c>
      <c r="M34" s="39">
        <v>94</v>
      </c>
      <c r="N34" s="94">
        <f>SUMPRODUCT(LARGE(H34:M34,{1,2,3,4,5}))/5</f>
        <v>92.571428571428584</v>
      </c>
      <c r="O34" s="93">
        <f>AVERAGE(SUMPRODUCT((LARGE(H34:L34,{1,2,3,4}))/4),M34)</f>
        <v>93.107142857142861</v>
      </c>
      <c r="P34" s="9">
        <v>100</v>
      </c>
      <c r="Q34" s="9">
        <v>100</v>
      </c>
      <c r="R34" s="9">
        <v>99</v>
      </c>
      <c r="S34" s="10">
        <f t="shared" si="0"/>
        <v>99.666666666666671</v>
      </c>
      <c r="T34" s="9">
        <v>100</v>
      </c>
      <c r="U34" s="18">
        <v>92</v>
      </c>
      <c r="V34" s="85">
        <f t="shared" si="1"/>
        <v>128.57142857142858</v>
      </c>
      <c r="W34" s="13">
        <v>1</v>
      </c>
      <c r="X34" s="14">
        <v>1</v>
      </c>
      <c r="Y34" s="13">
        <v>1</v>
      </c>
      <c r="Z34" s="14">
        <v>1</v>
      </c>
      <c r="AA34" s="13">
        <v>1</v>
      </c>
      <c r="AB34" s="14">
        <v>1</v>
      </c>
      <c r="AC34" s="13">
        <v>1</v>
      </c>
      <c r="AD34" s="14">
        <v>1</v>
      </c>
      <c r="AE34" s="13">
        <v>1</v>
      </c>
      <c r="AF34" s="31">
        <v>5</v>
      </c>
      <c r="AG34" s="13">
        <v>1</v>
      </c>
      <c r="AH34" s="13">
        <v>1</v>
      </c>
      <c r="AI34" s="13">
        <v>1</v>
      </c>
      <c r="AJ34" s="30">
        <v>1</v>
      </c>
      <c r="AK34" s="30"/>
      <c r="AL34" s="96">
        <f t="shared" si="2"/>
        <v>128.57142857142858</v>
      </c>
    </row>
    <row r="35" spans="1:38" ht="12" customHeight="1" x14ac:dyDescent="0.2">
      <c r="A35" s="61" t="s">
        <v>40</v>
      </c>
      <c r="B35" s="33" t="s">
        <v>41</v>
      </c>
      <c r="C35" s="33" t="s">
        <v>42</v>
      </c>
      <c r="D35" s="43" t="str">
        <f>VLOOKUP(A35,GROUPINGS!$A$2:$D$46,4,FALSE)</f>
        <v>P</v>
      </c>
      <c r="E35" s="11" t="s">
        <v>12</v>
      </c>
      <c r="F35" s="19" t="e">
        <f>(N35/#REF!)*0.5+(S35/#REF!)*0.2+(T35/#REF!)*0.1+(U35/#REF!)*0.1+(SUM(V35/#REF!)*0.05+(AL35/#REF!)*0.05)</f>
        <v>#REF!</v>
      </c>
      <c r="G35" s="19" t="e">
        <f>F35/#REF!</f>
        <v>#REF!</v>
      </c>
      <c r="H35" s="5">
        <v>71</v>
      </c>
      <c r="I35" s="55">
        <v>60</v>
      </c>
      <c r="J35" s="5">
        <v>48</v>
      </c>
      <c r="K35" s="55">
        <f>VLOOKUP(A35,Table1[[student id]:[exam 4 %]],8,FALSE)</f>
        <v>74.285714285714292</v>
      </c>
      <c r="L35" s="5">
        <v>83</v>
      </c>
      <c r="M35" s="39">
        <v>72</v>
      </c>
      <c r="N35" s="94">
        <f>SUMPRODUCT(LARGE(H35:M35,{1,2,3,4,5}))/5</f>
        <v>72.05714285714285</v>
      </c>
      <c r="O35" s="93">
        <f>AVERAGE(SUMPRODUCT((LARGE(H35:L35,{1,2,3,4}))/4),M35)</f>
        <v>72.035714285714278</v>
      </c>
      <c r="P35" s="9">
        <v>100</v>
      </c>
      <c r="Q35" s="9">
        <v>100</v>
      </c>
      <c r="R35" s="9">
        <v>99</v>
      </c>
      <c r="S35" s="10">
        <f t="shared" si="0"/>
        <v>99.666666666666671</v>
      </c>
      <c r="T35" s="9">
        <v>100</v>
      </c>
      <c r="U35" s="18">
        <v>63</v>
      </c>
      <c r="V35" s="85">
        <f t="shared" si="1"/>
        <v>78.571428571428569</v>
      </c>
      <c r="W35" s="13">
        <v>1</v>
      </c>
      <c r="X35" s="14">
        <v>1</v>
      </c>
      <c r="Y35" s="13">
        <v>1</v>
      </c>
      <c r="Z35" s="14">
        <v>1</v>
      </c>
      <c r="AA35" s="34"/>
      <c r="AB35" s="14">
        <v>1</v>
      </c>
      <c r="AC35" s="13">
        <v>1</v>
      </c>
      <c r="AD35" s="34"/>
      <c r="AE35" s="13">
        <v>1</v>
      </c>
      <c r="AF35" s="31"/>
      <c r="AG35" s="13">
        <v>1</v>
      </c>
      <c r="AH35" s="13">
        <v>1</v>
      </c>
      <c r="AI35" s="13">
        <v>1</v>
      </c>
      <c r="AJ35" s="30">
        <v>1</v>
      </c>
      <c r="AK35" s="30"/>
      <c r="AL35" s="96">
        <f t="shared" si="2"/>
        <v>78.571428571428569</v>
      </c>
    </row>
    <row r="36" spans="1:38" x14ac:dyDescent="0.2">
      <c r="A36" s="61" t="s">
        <v>67</v>
      </c>
      <c r="B36" s="33" t="s">
        <v>68</v>
      </c>
      <c r="C36" s="33" t="s">
        <v>69</v>
      </c>
      <c r="D36" s="82" t="s">
        <v>176</v>
      </c>
      <c r="E36" s="11" t="s">
        <v>11</v>
      </c>
      <c r="F36" s="19" t="e">
        <f>(N36/#REF!)*0.5+(S36/#REF!)*0.2+(T36/#REF!)*0.1+(U36/#REF!)*0.1+(SUM(V36/#REF!)*0.05+(AL36/#REF!)*0.05)</f>
        <v>#REF!</v>
      </c>
      <c r="G36" s="19" t="e">
        <f>F36/#REF!</f>
        <v>#REF!</v>
      </c>
      <c r="H36" s="5">
        <v>57</v>
      </c>
      <c r="I36" s="55">
        <v>0</v>
      </c>
      <c r="J36" s="62">
        <v>0</v>
      </c>
      <c r="K36" s="55">
        <f>VLOOKUP(A36,Table1[[student id]:[exam 4 %]],8,FALSE)</f>
        <v>60</v>
      </c>
      <c r="L36" s="5">
        <v>23</v>
      </c>
      <c r="M36" s="62">
        <v>0</v>
      </c>
      <c r="N36" s="94">
        <f>SUMPRODUCT(LARGE(H36:M36,{1,2,3,4,5}))/5</f>
        <v>28</v>
      </c>
      <c r="O36" s="93">
        <f>AVERAGE(SUMPRODUCT((LARGE(H36:L36,{1,2,3,4}))/4),M36)</f>
        <v>17.5</v>
      </c>
      <c r="P36" s="9">
        <v>64</v>
      </c>
      <c r="Q36" s="9">
        <v>42</v>
      </c>
      <c r="R36" s="9">
        <v>63</v>
      </c>
      <c r="S36" s="10">
        <f t="shared" si="0"/>
        <v>56.333333333333336</v>
      </c>
      <c r="T36" s="9">
        <v>100</v>
      </c>
      <c r="U36" s="18">
        <v>73</v>
      </c>
      <c r="V36" s="85">
        <f t="shared" si="1"/>
        <v>21.428571428571427</v>
      </c>
      <c r="W36" s="34"/>
      <c r="X36" s="14">
        <v>1</v>
      </c>
      <c r="Y36" s="34"/>
      <c r="Z36" s="14">
        <v>1</v>
      </c>
      <c r="AA36" s="34"/>
      <c r="AB36" s="34"/>
      <c r="AC36" s="13">
        <v>1</v>
      </c>
      <c r="AD36" s="34"/>
      <c r="AE36" s="13">
        <v>1</v>
      </c>
      <c r="AF36" s="31"/>
      <c r="AG36" s="34"/>
      <c r="AH36" s="13">
        <v>1</v>
      </c>
      <c r="AI36" s="80">
        <v>-3</v>
      </c>
      <c r="AJ36" s="30">
        <v>1</v>
      </c>
      <c r="AK36" s="30"/>
      <c r="AL36" s="96">
        <f t="shared" si="2"/>
        <v>21.428571428571427</v>
      </c>
    </row>
    <row r="37" spans="1:38" x14ac:dyDescent="0.2">
      <c r="A37" s="65">
        <v>300290378</v>
      </c>
      <c r="B37" s="35" t="s">
        <v>152</v>
      </c>
      <c r="C37" s="33" t="s">
        <v>155</v>
      </c>
      <c r="D37" s="43" t="str">
        <f>VLOOKUP(A37,GROUPINGS!$A$2:$D$46,4,FALSE)</f>
        <v>R</v>
      </c>
      <c r="E37" s="11"/>
      <c r="F37" s="19" t="e">
        <f>(N37/#REF!)*0.5+(S37/#REF!)*0.2+(T37/#REF!)*0.1+(U37/#REF!)*0.1+(SUM(V37/#REF!)*0.05+(AL37/#REF!)*0.05)</f>
        <v>#REF!</v>
      </c>
      <c r="G37" s="19" t="e">
        <f>F37/#REF!</f>
        <v>#REF!</v>
      </c>
      <c r="H37" s="5">
        <v>86</v>
      </c>
      <c r="I37" s="55">
        <v>80</v>
      </c>
      <c r="J37" s="5">
        <v>97</v>
      </c>
      <c r="K37" s="55">
        <f>VLOOKUP(A37,Table1[[student id]:[exam 4 %]],8,FALSE)</f>
        <v>80</v>
      </c>
      <c r="L37" s="5">
        <v>67</v>
      </c>
      <c r="M37" s="39">
        <v>90</v>
      </c>
      <c r="N37" s="94">
        <f>SUMPRODUCT(LARGE(H37:M37,{1,2,3,4,5}))/5</f>
        <v>86.6</v>
      </c>
      <c r="O37" s="93">
        <f>AVERAGE(SUMPRODUCT((LARGE(H37:L37,{1,2,3,4}))/4),M37)</f>
        <v>87.875</v>
      </c>
      <c r="P37" s="9">
        <v>95</v>
      </c>
      <c r="Q37" s="9">
        <v>85</v>
      </c>
      <c r="R37" s="9">
        <v>100</v>
      </c>
      <c r="S37" s="10">
        <f t="shared" si="0"/>
        <v>93.333333333333329</v>
      </c>
      <c r="T37" s="9">
        <v>100</v>
      </c>
      <c r="U37" s="18">
        <v>92</v>
      </c>
      <c r="V37" s="85">
        <f t="shared" si="1"/>
        <v>85.714285714285708</v>
      </c>
      <c r="W37" s="13">
        <v>1</v>
      </c>
      <c r="X37" s="14">
        <v>1</v>
      </c>
      <c r="Y37" s="13">
        <v>1</v>
      </c>
      <c r="Z37" s="34"/>
      <c r="AA37" s="13">
        <v>1</v>
      </c>
      <c r="AB37" s="14">
        <v>1</v>
      </c>
      <c r="AC37" s="13">
        <v>1</v>
      </c>
      <c r="AD37" s="14">
        <v>1</v>
      </c>
      <c r="AE37" s="13">
        <v>1</v>
      </c>
      <c r="AF37" s="31"/>
      <c r="AG37" s="13">
        <v>1</v>
      </c>
      <c r="AH37" s="13">
        <v>1</v>
      </c>
      <c r="AI37" s="13">
        <v>1</v>
      </c>
      <c r="AJ37" s="30">
        <v>1</v>
      </c>
      <c r="AK37" s="30"/>
      <c r="AL37" s="96">
        <f t="shared" si="2"/>
        <v>85.714285714285708</v>
      </c>
    </row>
    <row r="38" spans="1:38" x14ac:dyDescent="0.2">
      <c r="A38" s="61" t="s">
        <v>124</v>
      </c>
      <c r="B38" s="33" t="s">
        <v>125</v>
      </c>
      <c r="C38" s="33" t="s">
        <v>126</v>
      </c>
      <c r="D38" s="43" t="str">
        <f>VLOOKUP(A38,GROUPINGS!$A$2:$D$46,4,FALSE)</f>
        <v>R</v>
      </c>
      <c r="E38" s="11" t="s">
        <v>12</v>
      </c>
      <c r="F38" s="19" t="e">
        <f>(N38/#REF!)*0.5+(S38/#REF!)*0.2+(T38/#REF!)*0.1+(U38/#REF!)*0.1+(SUM(V38/#REF!)*0.05+(AL38/#REF!)*0.05)</f>
        <v>#REF!</v>
      </c>
      <c r="G38" s="19" t="e">
        <f>F38/#REF!</f>
        <v>#REF!</v>
      </c>
      <c r="H38" s="5">
        <v>71</v>
      </c>
      <c r="I38" s="55">
        <v>58</v>
      </c>
      <c r="J38" s="5">
        <v>73</v>
      </c>
      <c r="K38" s="55">
        <f>VLOOKUP(A38,Table1[[student id]:[exam 4 %]],8,FALSE)</f>
        <v>57.142857142857139</v>
      </c>
      <c r="L38" s="5">
        <v>80</v>
      </c>
      <c r="M38" s="39">
        <v>44</v>
      </c>
      <c r="N38" s="94">
        <f>SUMPRODUCT(LARGE(H38:M38,{1,2,3,4,5}))/5</f>
        <v>67.828571428571422</v>
      </c>
      <c r="O38" s="93">
        <f>AVERAGE(SUMPRODUCT((LARGE(H38:L38,{1,2,3,4}))/4),M38)</f>
        <v>57.25</v>
      </c>
      <c r="P38" s="9">
        <v>95</v>
      </c>
      <c r="Q38" s="9">
        <v>85</v>
      </c>
      <c r="R38" s="9">
        <v>100</v>
      </c>
      <c r="S38" s="10">
        <f t="shared" si="0"/>
        <v>93.333333333333329</v>
      </c>
      <c r="T38" s="9">
        <v>100</v>
      </c>
      <c r="U38" s="18">
        <v>73</v>
      </c>
      <c r="V38" s="85">
        <f t="shared" si="1"/>
        <v>57.142857142857139</v>
      </c>
      <c r="W38" s="13">
        <v>1</v>
      </c>
      <c r="X38" s="14">
        <v>1</v>
      </c>
      <c r="Y38" s="13">
        <v>1</v>
      </c>
      <c r="Z38" s="14">
        <v>1</v>
      </c>
      <c r="AA38" s="34"/>
      <c r="AB38" s="14">
        <v>1</v>
      </c>
      <c r="AC38" s="34"/>
      <c r="AD38" s="34"/>
      <c r="AE38" s="13">
        <v>1</v>
      </c>
      <c r="AF38" s="31"/>
      <c r="AG38" s="13">
        <v>1</v>
      </c>
      <c r="AH38" s="34"/>
      <c r="AI38" s="13">
        <v>1</v>
      </c>
      <c r="AJ38" s="34"/>
      <c r="AK38" s="34"/>
      <c r="AL38" s="96">
        <f t="shared" si="2"/>
        <v>57.142857142857139</v>
      </c>
    </row>
    <row r="39" spans="1:38" x14ac:dyDescent="0.2">
      <c r="A39" s="65" t="s">
        <v>113</v>
      </c>
      <c r="B39" s="33" t="s">
        <v>68</v>
      </c>
      <c r="C39" s="33" t="s">
        <v>114</v>
      </c>
      <c r="D39" s="43" t="str">
        <f>VLOOKUP(A39,GROUPINGS!$A$2:$D$46,4,FALSE)</f>
        <v>S</v>
      </c>
      <c r="E39" s="11" t="s">
        <v>11</v>
      </c>
      <c r="F39" s="19" t="e">
        <f>(N39/#REF!)*0.5+(S39/#REF!)*0.2+(T39/#REF!)*0.1+(U39/#REF!)*0.1+(SUM(V39/#REF!)*0.05+(AL39/#REF!)*0.05)</f>
        <v>#REF!</v>
      </c>
      <c r="G39" s="19" t="e">
        <f>F39/#REF!</f>
        <v>#REF!</v>
      </c>
      <c r="H39" s="5">
        <v>43</v>
      </c>
      <c r="I39" s="55">
        <v>65</v>
      </c>
      <c r="J39" s="5">
        <v>82</v>
      </c>
      <c r="K39" s="55">
        <f>VLOOKUP(A39,Table1[[student id]:[exam 4 %]],8,FALSE)</f>
        <v>65.714285714285708</v>
      </c>
      <c r="L39" s="55">
        <v>73</v>
      </c>
      <c r="M39" s="39">
        <v>74</v>
      </c>
      <c r="N39" s="94">
        <f>SUMPRODUCT(LARGE(H39:M39,{1,2,3,4,5}))/5</f>
        <v>71.94285714285715</v>
      </c>
      <c r="O39" s="93">
        <f>AVERAGE(SUMPRODUCT((LARGE(H39:L39,{1,2,3,4}))/4),M39)</f>
        <v>72.714285714285722</v>
      </c>
      <c r="P39" s="9">
        <v>70</v>
      </c>
      <c r="Q39" s="9">
        <v>71</v>
      </c>
      <c r="R39" s="9">
        <v>74</v>
      </c>
      <c r="S39" s="10">
        <f t="shared" si="0"/>
        <v>71.666666666666671</v>
      </c>
      <c r="T39" s="9">
        <v>100</v>
      </c>
      <c r="U39" s="18">
        <v>97</v>
      </c>
      <c r="V39" s="85">
        <f t="shared" si="1"/>
        <v>50</v>
      </c>
      <c r="W39" s="34"/>
      <c r="X39" s="14">
        <v>1</v>
      </c>
      <c r="Y39" s="34"/>
      <c r="Z39" s="14">
        <v>1</v>
      </c>
      <c r="AA39" s="13">
        <v>1</v>
      </c>
      <c r="AB39" s="14">
        <v>1</v>
      </c>
      <c r="AC39" s="13">
        <v>1</v>
      </c>
      <c r="AD39" s="14">
        <v>1</v>
      </c>
      <c r="AE39" s="34"/>
      <c r="AF39" s="31"/>
      <c r="AG39" s="34"/>
      <c r="AH39" s="34"/>
      <c r="AI39" s="34"/>
      <c r="AJ39" s="30">
        <v>1</v>
      </c>
      <c r="AK39" s="30"/>
      <c r="AL39" s="96">
        <f t="shared" si="2"/>
        <v>50</v>
      </c>
    </row>
    <row r="40" spans="1:38" x14ac:dyDescent="0.2">
      <c r="A40" s="61" t="s">
        <v>46</v>
      </c>
      <c r="B40" s="33" t="s">
        <v>47</v>
      </c>
      <c r="C40" s="33" t="s">
        <v>48</v>
      </c>
      <c r="D40" s="43" t="str">
        <f>VLOOKUP(A40,GROUPINGS!$A$2:$D$46,4,FALSE)</f>
        <v>S</v>
      </c>
      <c r="E40" s="11" t="s">
        <v>12</v>
      </c>
      <c r="F40" s="19" t="e">
        <f>(N40/#REF!)*0.5+(S40/#REF!)*0.2+(T40/#REF!)*0.1+(U40/#REF!)*0.1+(SUM(V40/#REF!)*0.05+(AL40/#REF!)*0.05)</f>
        <v>#REF!</v>
      </c>
      <c r="G40" s="19" t="e">
        <f>F40/#REF!</f>
        <v>#REF!</v>
      </c>
      <c r="H40" s="5">
        <v>69</v>
      </c>
      <c r="I40" s="55">
        <v>58</v>
      </c>
      <c r="J40" s="5">
        <v>33</v>
      </c>
      <c r="K40" s="55">
        <f>VLOOKUP(A40,Table1[[student id]:[exam 4 %]],8,FALSE)</f>
        <v>68.571428571428569</v>
      </c>
      <c r="L40" s="5">
        <v>63</v>
      </c>
      <c r="M40" s="39">
        <v>56</v>
      </c>
      <c r="N40" s="94">
        <f>SUMPRODUCT(LARGE(H40:M40,{1,2,3,4,5}))/5</f>
        <v>62.914285714285711</v>
      </c>
      <c r="O40" s="93">
        <f>AVERAGE(SUMPRODUCT((LARGE(H40:L40,{1,2,3,4}))/4),M40)</f>
        <v>60.321428571428569</v>
      </c>
      <c r="P40" s="9">
        <v>70</v>
      </c>
      <c r="Q40" s="9">
        <v>71</v>
      </c>
      <c r="R40" s="9">
        <v>74</v>
      </c>
      <c r="S40" s="10">
        <f t="shared" si="0"/>
        <v>71.666666666666671</v>
      </c>
      <c r="T40" s="9">
        <v>100</v>
      </c>
      <c r="U40" s="18">
        <v>55</v>
      </c>
      <c r="V40" s="85">
        <f t="shared" si="1"/>
        <v>50</v>
      </c>
      <c r="W40" s="13">
        <v>1</v>
      </c>
      <c r="X40" s="14">
        <v>1</v>
      </c>
      <c r="Y40" s="13">
        <v>1</v>
      </c>
      <c r="Z40" s="14">
        <v>1</v>
      </c>
      <c r="AA40" s="34"/>
      <c r="AB40" s="14">
        <v>1</v>
      </c>
      <c r="AC40" s="13">
        <v>1</v>
      </c>
      <c r="AD40" s="34"/>
      <c r="AE40" s="34"/>
      <c r="AF40" s="31"/>
      <c r="AG40" s="34"/>
      <c r="AH40" s="34"/>
      <c r="AI40" s="34"/>
      <c r="AJ40" s="30">
        <v>1</v>
      </c>
      <c r="AK40" s="30"/>
      <c r="AL40" s="96">
        <f t="shared" si="2"/>
        <v>50</v>
      </c>
    </row>
    <row r="41" spans="1:38" x14ac:dyDescent="0.2">
      <c r="A41" s="61" t="s">
        <v>58</v>
      </c>
      <c r="B41" s="33" t="s">
        <v>59</v>
      </c>
      <c r="C41" s="33" t="s">
        <v>60</v>
      </c>
      <c r="D41" s="43" t="str">
        <f>VLOOKUP(A41,GROUPINGS!$A$2:$D$46,4,FALSE)</f>
        <v>S</v>
      </c>
      <c r="E41" s="11" t="s">
        <v>12</v>
      </c>
      <c r="F41" s="19" t="e">
        <f>(N41/#REF!)*0.5+(S41/#REF!)*0.2+(T41/#REF!)*0.1+(U41/#REF!)*0.1+(SUM(V41/#REF!)*0.05+(AL41/#REF!)*0.05)</f>
        <v>#REF!</v>
      </c>
      <c r="G41" s="19" t="e">
        <f>F41/#REF!</f>
        <v>#REF!</v>
      </c>
      <c r="H41" s="5">
        <v>57</v>
      </c>
      <c r="I41" s="55">
        <v>43</v>
      </c>
      <c r="J41" s="5">
        <v>55</v>
      </c>
      <c r="K41" s="55">
        <f>VLOOKUP(A41,Table1[[student id]:[exam 4 %]],8,FALSE)</f>
        <v>62.857142857142854</v>
      </c>
      <c r="L41" s="5">
        <v>50</v>
      </c>
      <c r="M41" s="39">
        <v>48</v>
      </c>
      <c r="N41" s="94">
        <f>SUMPRODUCT(LARGE(H41:M41,{1,2,3,4,5}))/5</f>
        <v>54.571428571428577</v>
      </c>
      <c r="O41" s="93">
        <f>AVERAGE(SUMPRODUCT((LARGE(H41:L41,{1,2,3,4}))/4),M41)</f>
        <v>52.107142857142861</v>
      </c>
      <c r="P41" s="9">
        <v>70</v>
      </c>
      <c r="Q41" s="9">
        <v>71</v>
      </c>
      <c r="R41" s="9">
        <v>74</v>
      </c>
      <c r="S41" s="10">
        <f t="shared" si="0"/>
        <v>71.666666666666671</v>
      </c>
      <c r="T41" s="9">
        <v>100</v>
      </c>
      <c r="U41" s="18">
        <v>58</v>
      </c>
      <c r="V41" s="85">
        <f t="shared" si="1"/>
        <v>50</v>
      </c>
      <c r="W41" s="13">
        <v>1</v>
      </c>
      <c r="X41" s="14">
        <v>1</v>
      </c>
      <c r="Y41" s="34"/>
      <c r="Z41" s="14">
        <v>1</v>
      </c>
      <c r="AA41" s="34"/>
      <c r="AB41" s="14">
        <v>1</v>
      </c>
      <c r="AC41" s="13">
        <v>1</v>
      </c>
      <c r="AD41" s="34"/>
      <c r="AE41" s="34"/>
      <c r="AF41" s="31"/>
      <c r="AG41" s="13">
        <v>1</v>
      </c>
      <c r="AH41" s="34"/>
      <c r="AI41" s="34"/>
      <c r="AJ41" s="30">
        <v>1</v>
      </c>
      <c r="AK41" s="30"/>
      <c r="AL41" s="96">
        <f t="shared" si="2"/>
        <v>50</v>
      </c>
    </row>
    <row r="42" spans="1:38" x14ac:dyDescent="0.2">
      <c r="A42" s="61" t="s">
        <v>70</v>
      </c>
      <c r="B42" s="33" t="s">
        <v>71</v>
      </c>
      <c r="C42" s="33" t="s">
        <v>72</v>
      </c>
      <c r="D42" s="43" t="str">
        <f>VLOOKUP(A42,GROUPINGS!$A$2:$D$46,4,FALSE)</f>
        <v>T</v>
      </c>
      <c r="E42" s="11" t="s">
        <v>11</v>
      </c>
      <c r="F42" s="19" t="e">
        <f>(N42/#REF!)*0.5+(S42/#REF!)*0.2+(T42/#REF!)*0.1+(U42/#REF!)*0.1+(SUM(V42/#REF!)*0.05+(AL42/#REF!)*0.05)</f>
        <v>#REF!</v>
      </c>
      <c r="G42" s="19" t="e">
        <f>F42/#REF!</f>
        <v>#REF!</v>
      </c>
      <c r="H42" s="5">
        <v>69</v>
      </c>
      <c r="I42" s="55">
        <f>VLOOKUP(A42,Table1[[student id]:[Exam 2]],5,FALSE)*100</f>
        <v>0</v>
      </c>
      <c r="J42" s="5">
        <v>45</v>
      </c>
      <c r="K42" s="55">
        <f>VLOOKUP(A42,Table1[[student id]:[exam 4 %]],8,FALSE)</f>
        <v>71.428571428571431</v>
      </c>
      <c r="L42" s="5">
        <v>47</v>
      </c>
      <c r="M42" s="39">
        <v>50</v>
      </c>
      <c r="N42" s="94">
        <f>SUMPRODUCT(LARGE(H42:M42,{1,2,3,4,5}))/5</f>
        <v>56.485714285714288</v>
      </c>
      <c r="O42" s="93">
        <f>AVERAGE(SUMPRODUCT((LARGE(H42:L42,{1,2,3,4}))/4),M42)</f>
        <v>54.053571428571431</v>
      </c>
      <c r="P42" s="9">
        <v>51</v>
      </c>
      <c r="Q42" s="9">
        <v>87</v>
      </c>
      <c r="R42" s="9">
        <v>81</v>
      </c>
      <c r="S42" s="10">
        <f t="shared" si="0"/>
        <v>73</v>
      </c>
      <c r="T42" s="9">
        <v>100</v>
      </c>
      <c r="U42" s="18">
        <v>100</v>
      </c>
      <c r="V42" s="85">
        <f t="shared" si="1"/>
        <v>85.714285714285708</v>
      </c>
      <c r="W42" s="13">
        <v>1</v>
      </c>
      <c r="X42" s="14">
        <v>1</v>
      </c>
      <c r="Y42" s="13">
        <v>1</v>
      </c>
      <c r="Z42" s="14">
        <v>1</v>
      </c>
      <c r="AA42" s="13">
        <v>1</v>
      </c>
      <c r="AB42" s="14">
        <v>1</v>
      </c>
      <c r="AC42" s="13">
        <v>1</v>
      </c>
      <c r="AD42" s="14">
        <v>1</v>
      </c>
      <c r="AE42" s="13">
        <v>1</v>
      </c>
      <c r="AF42" s="31"/>
      <c r="AG42" s="13">
        <v>1</v>
      </c>
      <c r="AH42" s="13">
        <v>1</v>
      </c>
      <c r="AI42" s="34"/>
      <c r="AJ42" s="30">
        <v>1</v>
      </c>
      <c r="AK42" s="30"/>
      <c r="AL42" s="96">
        <f t="shared" si="2"/>
        <v>85.714285714285708</v>
      </c>
    </row>
    <row r="43" spans="1:38" x14ac:dyDescent="0.2">
      <c r="A43" s="61" t="s">
        <v>138</v>
      </c>
      <c r="B43" s="33" t="s">
        <v>71</v>
      </c>
      <c r="C43" s="33" t="s">
        <v>137</v>
      </c>
      <c r="D43" s="43" t="str">
        <f>VLOOKUP(A43,GROUPINGS!$A$2:$D$46,4,FALSE)</f>
        <v>T</v>
      </c>
      <c r="E43" s="11" t="s">
        <v>11</v>
      </c>
      <c r="F43" s="19" t="e">
        <f>(N43/#REF!)*0.5+(S43/#REF!)*0.2+(T43/#REF!)*0.1+(U43/#REF!)*0.1+(SUM(V43/#REF!)*0.05+(AL43/#REF!)*0.05)</f>
        <v>#REF!</v>
      </c>
      <c r="G43" s="19" t="e">
        <f>F43/#REF!</f>
        <v>#REF!</v>
      </c>
      <c r="H43" s="5">
        <v>54</v>
      </c>
      <c r="I43" s="55">
        <v>53</v>
      </c>
      <c r="J43" s="5">
        <v>52</v>
      </c>
      <c r="K43" s="55">
        <f>VLOOKUP(A43,Table1[[student id]:[exam 4 %]],8,FALSE)</f>
        <v>62.857142857142854</v>
      </c>
      <c r="L43" s="5">
        <v>30</v>
      </c>
      <c r="M43" s="39">
        <v>38</v>
      </c>
      <c r="N43" s="94">
        <f>SUMPRODUCT(LARGE(H43:M43,{1,2,3,4,5}))/5</f>
        <v>51.971428571428575</v>
      </c>
      <c r="O43" s="93">
        <v>52</v>
      </c>
      <c r="P43" s="9">
        <v>51</v>
      </c>
      <c r="Q43" s="9">
        <v>87</v>
      </c>
      <c r="R43" s="9">
        <v>81</v>
      </c>
      <c r="S43" s="10">
        <f t="shared" si="0"/>
        <v>73</v>
      </c>
      <c r="T43" s="9">
        <v>100</v>
      </c>
      <c r="U43" s="18">
        <v>98</v>
      </c>
      <c r="V43" s="85">
        <f t="shared" si="1"/>
        <v>57.142857142857139</v>
      </c>
      <c r="W43" s="13">
        <v>1</v>
      </c>
      <c r="X43" s="14">
        <v>1</v>
      </c>
      <c r="Y43" s="34"/>
      <c r="Z43" s="14">
        <v>1</v>
      </c>
      <c r="AA43" s="14">
        <v>1</v>
      </c>
      <c r="AB43" s="14">
        <v>1</v>
      </c>
      <c r="AC43" s="13">
        <v>1</v>
      </c>
      <c r="AD43" s="14">
        <v>1</v>
      </c>
      <c r="AE43" s="13">
        <v>1</v>
      </c>
      <c r="AF43" s="31"/>
      <c r="AG43" s="13">
        <v>1</v>
      </c>
      <c r="AH43" s="13">
        <v>1</v>
      </c>
      <c r="AI43" s="80">
        <v>-3</v>
      </c>
      <c r="AJ43" s="30">
        <v>1</v>
      </c>
      <c r="AK43" s="30"/>
      <c r="AL43" s="96">
        <f t="shared" si="2"/>
        <v>57.142857142857139</v>
      </c>
    </row>
    <row r="44" spans="1:38" x14ac:dyDescent="0.2">
      <c r="A44" s="61" t="s">
        <v>96</v>
      </c>
      <c r="B44" s="33" t="s">
        <v>97</v>
      </c>
      <c r="C44" s="33" t="s">
        <v>98</v>
      </c>
      <c r="D44" s="43" t="str">
        <f>VLOOKUP(A44,GROUPINGS!$A$2:$D$46,4,FALSE)</f>
        <v>U</v>
      </c>
      <c r="E44" s="11" t="s">
        <v>12</v>
      </c>
      <c r="F44" s="19" t="e">
        <f>(N44/#REF!)*0.5+(S44/#REF!)*0.2+(T44/#REF!)*0.1+(U44/#REF!)*0.1+(SUM(V44/#REF!)*0.05+(AL44/#REF!)*0.05)</f>
        <v>#REF!</v>
      </c>
      <c r="G44" s="19" t="e">
        <f>F44/#REF!</f>
        <v>#REF!</v>
      </c>
      <c r="H44" s="5">
        <v>60</v>
      </c>
      <c r="I44" s="55">
        <v>60</v>
      </c>
      <c r="J44" s="5">
        <v>82</v>
      </c>
      <c r="K44" s="55">
        <f>VLOOKUP(A44,Table1[[student id]:[exam 4 %]],8,FALSE)</f>
        <v>74.285714285714292</v>
      </c>
      <c r="L44" s="5">
        <v>63</v>
      </c>
      <c r="M44" s="39">
        <v>68</v>
      </c>
      <c r="N44" s="94">
        <f>SUMPRODUCT(LARGE(H44:M44,{1,2,3,4,5}))/5</f>
        <v>69.457142857142856</v>
      </c>
      <c r="O44" s="93">
        <f>AVERAGE(SUMPRODUCT((LARGE(H44:L44,{1,2,3,4}))/4),M44)</f>
        <v>68.910714285714278</v>
      </c>
      <c r="P44" s="9">
        <v>95</v>
      </c>
      <c r="Q44" s="9">
        <v>97</v>
      </c>
      <c r="R44" s="9">
        <v>92</v>
      </c>
      <c r="S44" s="10">
        <f t="shared" si="0"/>
        <v>94.666666666666671</v>
      </c>
      <c r="T44" s="9">
        <v>0</v>
      </c>
      <c r="U44" s="18">
        <v>69</v>
      </c>
      <c r="V44" s="85">
        <f t="shared" si="1"/>
        <v>64.285714285714292</v>
      </c>
      <c r="W44" s="13">
        <v>1</v>
      </c>
      <c r="X44" s="37">
        <v>1</v>
      </c>
      <c r="Y44" s="13">
        <v>1</v>
      </c>
      <c r="Z44" s="14">
        <v>1</v>
      </c>
      <c r="AA44" s="34"/>
      <c r="AB44" s="14">
        <v>1</v>
      </c>
      <c r="AC44" s="34"/>
      <c r="AD44" s="14">
        <v>1</v>
      </c>
      <c r="AE44" s="13">
        <v>1</v>
      </c>
      <c r="AF44" s="31"/>
      <c r="AG44" s="13">
        <v>1</v>
      </c>
      <c r="AH44" s="34"/>
      <c r="AI44" s="13">
        <v>1</v>
      </c>
      <c r="AJ44" s="34"/>
      <c r="AK44" s="34"/>
      <c r="AL44" s="96">
        <f t="shared" si="2"/>
        <v>64.285714285714292</v>
      </c>
    </row>
    <row r="45" spans="1:38" x14ac:dyDescent="0.2">
      <c r="A45" s="61" t="s">
        <v>115</v>
      </c>
      <c r="B45" s="33" t="s">
        <v>116</v>
      </c>
      <c r="C45" s="33" t="s">
        <v>117</v>
      </c>
      <c r="D45" s="43" t="str">
        <f>VLOOKUP(A45,GROUPINGS!$A$2:$D$46,4,FALSE)</f>
        <v>U</v>
      </c>
      <c r="E45" s="11" t="s">
        <v>12</v>
      </c>
      <c r="F45" s="19" t="e">
        <f>(N45/#REF!)*0.5+(S45/#REF!)*0.2+(T45/#REF!)*0.1+(U45/#REF!)*0.1+(SUM(V45/#REF!)*0.05+(AL45/#REF!)*0.05)</f>
        <v>#REF!</v>
      </c>
      <c r="G45" s="19" t="e">
        <f>F45/#REF!</f>
        <v>#REF!</v>
      </c>
      <c r="H45" s="5">
        <v>63</v>
      </c>
      <c r="I45" s="55">
        <v>80</v>
      </c>
      <c r="J45" s="5">
        <v>79</v>
      </c>
      <c r="K45" s="55">
        <f>VLOOKUP(A45,Table1[[student id]:[exam 4 %]],8,FALSE)</f>
        <v>82.857142857142861</v>
      </c>
      <c r="L45" s="5">
        <v>83</v>
      </c>
      <c r="M45" s="39">
        <v>76</v>
      </c>
      <c r="N45" s="94">
        <f>SUMPRODUCT(LARGE(H45:M45,{1,2,3,4,5}))/5</f>
        <v>80.171428571428578</v>
      </c>
      <c r="O45" s="93">
        <f>AVERAGE(SUMPRODUCT((LARGE(H45:L45,{1,2,3,4}))/4),M45)</f>
        <v>78.607142857142861</v>
      </c>
      <c r="P45" s="9">
        <v>95</v>
      </c>
      <c r="Q45" s="9">
        <v>97</v>
      </c>
      <c r="R45" s="9">
        <v>92</v>
      </c>
      <c r="S45" s="10">
        <f t="shared" si="0"/>
        <v>94.666666666666671</v>
      </c>
      <c r="T45" s="9">
        <v>100</v>
      </c>
      <c r="U45" s="18">
        <v>97</v>
      </c>
      <c r="V45" s="85">
        <f t="shared" si="1"/>
        <v>85.714285714285708</v>
      </c>
      <c r="W45" s="13">
        <v>1</v>
      </c>
      <c r="X45" s="14">
        <v>1</v>
      </c>
      <c r="Y45" s="13">
        <v>1</v>
      </c>
      <c r="Z45" s="34"/>
      <c r="AA45" s="13">
        <v>1</v>
      </c>
      <c r="AB45" s="14">
        <v>1</v>
      </c>
      <c r="AC45" s="13">
        <v>1</v>
      </c>
      <c r="AD45" s="14">
        <v>1</v>
      </c>
      <c r="AE45" s="13">
        <v>1</v>
      </c>
      <c r="AF45" s="31"/>
      <c r="AG45" s="13">
        <v>1</v>
      </c>
      <c r="AH45" s="13">
        <v>1</v>
      </c>
      <c r="AI45" s="13">
        <v>1</v>
      </c>
      <c r="AJ45" s="30">
        <v>1</v>
      </c>
      <c r="AK45" s="30"/>
      <c r="AL45" s="96">
        <f t="shared" si="2"/>
        <v>85.714285714285708</v>
      </c>
    </row>
    <row r="46" spans="1:38" x14ac:dyDescent="0.2">
      <c r="A46" s="67" t="s">
        <v>88</v>
      </c>
      <c r="B46" s="63" t="s">
        <v>89</v>
      </c>
      <c r="C46" s="63" t="s">
        <v>90</v>
      </c>
      <c r="D46" s="43" t="str">
        <f>VLOOKUP(A46,GROUPINGS!$A$2:$D$46,4,FALSE)</f>
        <v>W</v>
      </c>
      <c r="E46" s="11" t="s">
        <v>12</v>
      </c>
      <c r="F46" s="19">
        <v>0</v>
      </c>
      <c r="G46" s="19" t="e">
        <f>F46/#REF!</f>
        <v>#REF!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94">
        <f>SUMPRODUCT(LARGE(H46:M46,{1,2,3,4,5}))/5</f>
        <v>0</v>
      </c>
      <c r="O46" s="93">
        <f>AVERAGE(SUMPRODUCT((LARGE(H46:L46,{1,2,3,4}))/4),M46)</f>
        <v>0</v>
      </c>
      <c r="P46" s="78">
        <v>0</v>
      </c>
      <c r="Q46" s="78">
        <v>0</v>
      </c>
      <c r="R46" s="9">
        <v>0</v>
      </c>
      <c r="S46" s="10">
        <f t="shared" si="0"/>
        <v>0</v>
      </c>
      <c r="T46" s="9">
        <v>0</v>
      </c>
      <c r="U46" s="18">
        <v>1</v>
      </c>
      <c r="V46" s="85">
        <f t="shared" si="1"/>
        <v>0</v>
      </c>
      <c r="W46" s="34"/>
      <c r="X46" s="34"/>
      <c r="Y46" s="34"/>
      <c r="Z46" s="34"/>
      <c r="AA46" s="34"/>
      <c r="AB46" s="34"/>
      <c r="AC46" s="34"/>
      <c r="AD46" s="34"/>
      <c r="AE46" s="34"/>
      <c r="AF46" s="31"/>
      <c r="AG46" s="34"/>
      <c r="AH46" s="34"/>
      <c r="AI46" s="34"/>
      <c r="AJ46" s="34"/>
      <c r="AK46" s="34"/>
      <c r="AL46" s="96">
        <f t="shared" si="2"/>
        <v>0</v>
      </c>
    </row>
    <row r="47" spans="1:38" x14ac:dyDescent="0.2">
      <c r="A47" s="67" t="s">
        <v>121</v>
      </c>
      <c r="B47" s="63" t="s">
        <v>122</v>
      </c>
      <c r="C47" s="63" t="s">
        <v>123</v>
      </c>
      <c r="D47" s="43" t="str">
        <f>VLOOKUP(A47,GROUPINGS!$A$2:$D$46,4,FALSE)</f>
        <v>W</v>
      </c>
      <c r="E47" s="11" t="s">
        <v>12</v>
      </c>
      <c r="F47" s="19">
        <v>0</v>
      </c>
      <c r="G47" s="19" t="e">
        <f>F47/#REF!</f>
        <v>#REF!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94">
        <f>SUMPRODUCT(LARGE(H47:M47,{1,2,3,4,5}))/5</f>
        <v>0</v>
      </c>
      <c r="O47" s="93">
        <f>AVERAGE(SUMPRODUCT((LARGE(H47:L47,{1,2,3,4}))/4),M47)</f>
        <v>0</v>
      </c>
      <c r="P47" s="78">
        <v>0</v>
      </c>
      <c r="Q47" s="78">
        <v>0</v>
      </c>
      <c r="R47" s="9">
        <v>0</v>
      </c>
      <c r="S47" s="10">
        <f t="shared" si="0"/>
        <v>0</v>
      </c>
      <c r="T47" s="9">
        <v>0</v>
      </c>
      <c r="U47" s="18">
        <v>0</v>
      </c>
      <c r="V47" s="85">
        <f t="shared" si="1"/>
        <v>0</v>
      </c>
      <c r="W47" s="34"/>
      <c r="X47" s="34"/>
      <c r="Y47" s="34"/>
      <c r="Z47" s="34"/>
      <c r="AA47" s="34"/>
      <c r="AB47" s="34"/>
      <c r="AC47" s="34"/>
      <c r="AD47" s="34"/>
      <c r="AE47" s="34"/>
      <c r="AF47" s="31"/>
      <c r="AG47" s="34"/>
      <c r="AH47" s="34"/>
      <c r="AI47" s="34"/>
      <c r="AJ47" s="34"/>
      <c r="AK47" s="34"/>
      <c r="AL47" s="96">
        <f t="shared" si="2"/>
        <v>0</v>
      </c>
    </row>
    <row r="48" spans="1:38" x14ac:dyDescent="0.2">
      <c r="A48" s="61" t="s">
        <v>99</v>
      </c>
      <c r="B48" s="33" t="s">
        <v>100</v>
      </c>
      <c r="C48" s="33" t="s">
        <v>101</v>
      </c>
      <c r="D48" s="82" t="s">
        <v>196</v>
      </c>
      <c r="E48" s="11" t="s">
        <v>12</v>
      </c>
      <c r="F48" s="19" t="e">
        <f>(N48/#REF!)*0.5+(S48/#REF!)*0.2+(T48/#REF!)*0.1+(U48/#REF!)*0.1+(SUM(V48/#REF!)*0.05+(AL48/#REF!)*0.05)</f>
        <v>#REF!</v>
      </c>
      <c r="G48" s="19" t="e">
        <f>F48/#REF!</f>
        <v>#REF!</v>
      </c>
      <c r="H48" s="21">
        <v>43</v>
      </c>
      <c r="I48" s="21">
        <v>45</v>
      </c>
      <c r="J48" s="5">
        <v>79</v>
      </c>
      <c r="K48" s="55">
        <f>VLOOKUP(A48,Table1[[student id]:[exam 4 %]],8,FALSE)</f>
        <v>45.714285714285715</v>
      </c>
      <c r="L48" s="5">
        <v>63</v>
      </c>
      <c r="M48" s="39">
        <v>74</v>
      </c>
      <c r="N48" s="94">
        <f>SUMPRODUCT(LARGE(H48:M48,{1,2,3,4,5}))/5</f>
        <v>61.342857142857142</v>
      </c>
      <c r="O48" s="93">
        <f>AVERAGE(SUMPRODUCT((LARGE(H48:L48,{1,2,3,4}))/4),M48)</f>
        <v>66.089285714285722</v>
      </c>
      <c r="P48" s="9">
        <v>66</v>
      </c>
      <c r="Q48" s="9">
        <v>91</v>
      </c>
      <c r="R48" s="9">
        <v>91</v>
      </c>
      <c r="S48" s="10">
        <f t="shared" si="0"/>
        <v>82.666666666666671</v>
      </c>
      <c r="T48" s="9">
        <v>100</v>
      </c>
      <c r="U48" s="18">
        <v>20</v>
      </c>
      <c r="V48" s="85">
        <f t="shared" si="1"/>
        <v>78.571428571428569</v>
      </c>
      <c r="W48" s="13">
        <v>1</v>
      </c>
      <c r="X48" s="34"/>
      <c r="Y48" s="34"/>
      <c r="Z48" s="14">
        <v>1</v>
      </c>
      <c r="AA48" s="34"/>
      <c r="AB48" s="34"/>
      <c r="AC48" s="13">
        <v>1</v>
      </c>
      <c r="AD48" s="14">
        <v>1</v>
      </c>
      <c r="AE48" s="34"/>
      <c r="AF48" s="31">
        <v>5</v>
      </c>
      <c r="AG48" s="13">
        <v>1</v>
      </c>
      <c r="AH48" s="13">
        <v>1</v>
      </c>
      <c r="AI48" s="34"/>
      <c r="AJ48" s="34"/>
      <c r="AK48" s="34"/>
      <c r="AL48" s="96">
        <f t="shared" si="2"/>
        <v>78.571428571428569</v>
      </c>
    </row>
    <row r="49" spans="1:21" x14ac:dyDescent="0.2">
      <c r="F49" s="19"/>
    </row>
    <row r="50" spans="1:21" x14ac:dyDescent="0.2">
      <c r="E50" s="20"/>
    </row>
    <row r="51" spans="1:21" s="14" customFormat="1" hidden="1" x14ac:dyDescent="0.2">
      <c r="A51" s="68"/>
      <c r="C51" s="42" t="s">
        <v>178</v>
      </c>
      <c r="D51" s="47"/>
      <c r="E51" s="40"/>
      <c r="H51" s="14">
        <f t="shared" ref="H51:O51" si="3">MIN(H$5:H$48)</f>
        <v>0</v>
      </c>
      <c r="I51" s="14">
        <f t="shared" si="3"/>
        <v>0</v>
      </c>
      <c r="J51" s="14">
        <f t="shared" si="3"/>
        <v>0</v>
      </c>
      <c r="K51" s="14">
        <f t="shared" si="3"/>
        <v>0</v>
      </c>
      <c r="L51" s="14">
        <f t="shared" si="3"/>
        <v>0</v>
      </c>
      <c r="M51" s="14">
        <f t="shared" si="3"/>
        <v>0</v>
      </c>
      <c r="N51" s="14">
        <f t="shared" si="3"/>
        <v>0</v>
      </c>
      <c r="O51" s="55">
        <f t="shared" si="3"/>
        <v>0</v>
      </c>
    </row>
    <row r="52" spans="1:21" s="14" customFormat="1" hidden="1" x14ac:dyDescent="0.2">
      <c r="A52" s="68"/>
      <c r="C52" s="42" t="s">
        <v>179</v>
      </c>
      <c r="D52" s="47"/>
      <c r="H52" s="14">
        <f t="shared" ref="H52:O52" si="4">MAX(H$5:H$48)</f>
        <v>94</v>
      </c>
      <c r="I52" s="14">
        <f t="shared" si="4"/>
        <v>85</v>
      </c>
      <c r="J52" s="14">
        <f t="shared" si="4"/>
        <v>97</v>
      </c>
      <c r="K52" s="14">
        <f t="shared" si="4"/>
        <v>88.571428571428569</v>
      </c>
      <c r="L52" s="14">
        <f t="shared" si="4"/>
        <v>100</v>
      </c>
      <c r="M52" s="14">
        <f t="shared" si="4"/>
        <v>98</v>
      </c>
      <c r="N52" s="14">
        <f t="shared" si="4"/>
        <v>92.571428571428584</v>
      </c>
      <c r="O52" s="55">
        <f t="shared" si="4"/>
        <v>93.107142857142861</v>
      </c>
    </row>
    <row r="53" spans="1:21" s="14" customFormat="1" hidden="1" x14ac:dyDescent="0.2">
      <c r="A53" s="68"/>
      <c r="C53" s="42" t="s">
        <v>180</v>
      </c>
      <c r="D53" s="47"/>
      <c r="H53" s="41">
        <f t="shared" ref="H53:O53" si="5">AVERAGE(H$5:H$48)</f>
        <v>64</v>
      </c>
      <c r="I53" s="41">
        <f t="shared" si="5"/>
        <v>55.545454545454547</v>
      </c>
      <c r="J53" s="41">
        <f t="shared" si="5"/>
        <v>64.590909090909093</v>
      </c>
      <c r="K53" s="41">
        <f t="shared" si="5"/>
        <v>59.603896103896091</v>
      </c>
      <c r="L53" s="41">
        <f t="shared" si="5"/>
        <v>52.636363636363633</v>
      </c>
      <c r="M53" s="41">
        <f t="shared" si="5"/>
        <v>60.590909090909093</v>
      </c>
      <c r="N53" s="41">
        <f t="shared" si="5"/>
        <v>63.147402597402589</v>
      </c>
      <c r="O53" s="55">
        <f t="shared" si="5"/>
        <v>62.525568181818173</v>
      </c>
      <c r="P53" s="41"/>
      <c r="Q53" s="41"/>
      <c r="R53" s="41"/>
      <c r="S53" s="41"/>
      <c r="T53" s="41"/>
      <c r="U53" s="41"/>
    </row>
    <row r="54" spans="1:21" s="14" customFormat="1" hidden="1" x14ac:dyDescent="0.2">
      <c r="A54" s="68"/>
      <c r="C54" s="42" t="s">
        <v>181</v>
      </c>
      <c r="D54" s="47"/>
      <c r="H54" s="14">
        <f>MEDIAN(H$5:H$48)</f>
        <v>67.5</v>
      </c>
      <c r="I54" s="14">
        <f t="shared" ref="I54:O54" si="6">MEDIAN(I$5:I$48)</f>
        <v>60</v>
      </c>
      <c r="J54" s="14">
        <f t="shared" si="6"/>
        <v>71.5</v>
      </c>
      <c r="K54" s="14">
        <f t="shared" si="6"/>
        <v>65.714285714285708</v>
      </c>
      <c r="L54" s="14">
        <f t="shared" si="6"/>
        <v>57</v>
      </c>
      <c r="M54" s="14">
        <f t="shared" si="6"/>
        <v>68</v>
      </c>
      <c r="N54" s="14">
        <f t="shared" si="6"/>
        <v>66.557142857142864</v>
      </c>
      <c r="O54" s="55">
        <f t="shared" si="6"/>
        <v>66.294642857142861</v>
      </c>
    </row>
    <row r="55" spans="1:21" s="14" customFormat="1" hidden="1" x14ac:dyDescent="0.2">
      <c r="A55" s="68"/>
      <c r="C55" s="42"/>
      <c r="D55" s="47"/>
      <c r="E55" s="40"/>
      <c r="O55" s="55"/>
    </row>
  </sheetData>
  <autoFilter ref="A4:AM48">
    <sortState ref="A5:AM48">
      <sortCondition ref="D4:D48"/>
    </sortState>
  </autoFilter>
  <sortState ref="B5:D42">
    <sortCondition ref="B5:B42"/>
  </sortState>
  <mergeCells count="3">
    <mergeCell ref="P3:S3"/>
    <mergeCell ref="H3:M3"/>
    <mergeCell ref="O1:AB1"/>
  </mergeCells>
  <conditionalFormatting sqref="G5:G48">
    <cfRule type="cellIs" dxfId="13" priority="15" operator="lessThan">
      <formula>0.495</formula>
    </cfRule>
  </conditionalFormatting>
  <conditionalFormatting sqref="O5:O48">
    <cfRule type="cellIs" dxfId="12" priority="6" operator="lessThan">
      <formula>0.494</formula>
    </cfRule>
  </conditionalFormatting>
  <conditionalFormatting sqref="S5:S48">
    <cfRule type="cellIs" dxfId="11" priority="5" operator="lessThan">
      <formula>49.4</formula>
    </cfRule>
  </conditionalFormatting>
  <conditionalFormatting sqref="O4:O1048576">
    <cfRule type="cellIs" dxfId="10" priority="4" operator="lessThan">
      <formula>50</formula>
    </cfRule>
  </conditionalFormatting>
  <pageMargins left="0.7" right="0.7" top="0.75" bottom="0.75" header="0.3" footer="0.3"/>
  <pageSetup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3"/>
  <sheetViews>
    <sheetView zoomScaleNormal="100" workbookViewId="0">
      <selection activeCell="L5" sqref="L5"/>
    </sheetView>
  </sheetViews>
  <sheetFormatPr defaultRowHeight="12.75" x14ac:dyDescent="0.2"/>
  <cols>
    <col min="1" max="1" width="11.42578125" style="64" customWidth="1"/>
    <col min="2" max="2" width="9.28515625" customWidth="1"/>
    <col min="3" max="3" width="15.85546875" style="21" customWidth="1"/>
    <col min="4" max="4" width="9.140625" style="22"/>
  </cols>
  <sheetData>
    <row r="1" spans="1:4" x14ac:dyDescent="0.2">
      <c r="A1" s="64" t="s">
        <v>2</v>
      </c>
      <c r="B1" s="48" t="s">
        <v>0</v>
      </c>
      <c r="C1" s="49" t="s">
        <v>182</v>
      </c>
      <c r="D1" s="50" t="s">
        <v>183</v>
      </c>
    </row>
    <row r="2" spans="1:4" x14ac:dyDescent="0.2">
      <c r="A2" s="61" t="s">
        <v>28</v>
      </c>
      <c r="B2" s="33" t="s">
        <v>29</v>
      </c>
      <c r="C2" s="33" t="s">
        <v>30</v>
      </c>
      <c r="D2" s="43" t="s">
        <v>159</v>
      </c>
    </row>
    <row r="3" spans="1:4" x14ac:dyDescent="0.2">
      <c r="A3" s="61" t="s">
        <v>85</v>
      </c>
      <c r="B3" s="33" t="s">
        <v>86</v>
      </c>
      <c r="C3" s="33" t="s">
        <v>87</v>
      </c>
      <c r="D3" s="43" t="s">
        <v>159</v>
      </c>
    </row>
    <row r="4" spans="1:4" x14ac:dyDescent="0.2">
      <c r="A4" s="61" t="s">
        <v>73</v>
      </c>
      <c r="B4" s="33" t="s">
        <v>74</v>
      </c>
      <c r="C4" s="33" t="s">
        <v>75</v>
      </c>
      <c r="D4" s="43" t="s">
        <v>160</v>
      </c>
    </row>
    <row r="5" spans="1:4" x14ac:dyDescent="0.2">
      <c r="A5" s="61" t="s">
        <v>91</v>
      </c>
      <c r="B5" s="33" t="s">
        <v>92</v>
      </c>
      <c r="C5" s="33" t="s">
        <v>93</v>
      </c>
      <c r="D5" s="43" t="s">
        <v>160</v>
      </c>
    </row>
    <row r="6" spans="1:4" x14ac:dyDescent="0.2">
      <c r="A6" s="61" t="s">
        <v>65</v>
      </c>
      <c r="B6" s="33" t="s">
        <v>66</v>
      </c>
      <c r="C6" s="33" t="s">
        <v>151</v>
      </c>
      <c r="D6" s="43" t="s">
        <v>164</v>
      </c>
    </row>
    <row r="7" spans="1:4" x14ac:dyDescent="0.2">
      <c r="A7" s="61" t="s">
        <v>133</v>
      </c>
      <c r="B7" s="33" t="s">
        <v>134</v>
      </c>
      <c r="C7" s="33" t="s">
        <v>153</v>
      </c>
      <c r="D7" s="43" t="s">
        <v>164</v>
      </c>
    </row>
    <row r="8" spans="1:4" x14ac:dyDescent="0.2">
      <c r="A8" s="61" t="s">
        <v>55</v>
      </c>
      <c r="B8" s="33" t="s">
        <v>56</v>
      </c>
      <c r="C8" s="33" t="s">
        <v>57</v>
      </c>
      <c r="D8" s="43" t="s">
        <v>12</v>
      </c>
    </row>
    <row r="9" spans="1:4" x14ac:dyDescent="0.2">
      <c r="A9" s="61" t="s">
        <v>127</v>
      </c>
      <c r="B9" s="33" t="s">
        <v>128</v>
      </c>
      <c r="C9" s="57" t="s">
        <v>129</v>
      </c>
      <c r="D9" s="43" t="s">
        <v>12</v>
      </c>
    </row>
    <row r="10" spans="1:4" x14ac:dyDescent="0.2">
      <c r="A10" s="61" t="s">
        <v>79</v>
      </c>
      <c r="B10" s="33" t="s">
        <v>80</v>
      </c>
      <c r="C10" s="33" t="s">
        <v>81</v>
      </c>
      <c r="D10" s="43" t="s">
        <v>167</v>
      </c>
    </row>
    <row r="11" spans="1:4" x14ac:dyDescent="0.2">
      <c r="A11" s="61" t="s">
        <v>144</v>
      </c>
      <c r="B11" s="33" t="s">
        <v>145</v>
      </c>
      <c r="C11" s="33" t="s">
        <v>146</v>
      </c>
      <c r="D11" s="43" t="s">
        <v>167</v>
      </c>
    </row>
    <row r="12" spans="1:4" x14ac:dyDescent="0.2">
      <c r="A12" s="61" t="s">
        <v>43</v>
      </c>
      <c r="B12" s="33" t="s">
        <v>44</v>
      </c>
      <c r="C12" s="33" t="s">
        <v>45</v>
      </c>
      <c r="D12" s="58" t="s">
        <v>170</v>
      </c>
    </row>
    <row r="13" spans="1:4" x14ac:dyDescent="0.2">
      <c r="A13" s="61" t="s">
        <v>82</v>
      </c>
      <c r="B13" s="33" t="s">
        <v>83</v>
      </c>
      <c r="C13" s="33" t="s">
        <v>84</v>
      </c>
      <c r="D13" s="58" t="s">
        <v>170</v>
      </c>
    </row>
    <row r="14" spans="1:4" x14ac:dyDescent="0.2">
      <c r="A14" s="61" t="s">
        <v>105</v>
      </c>
      <c r="B14" s="33" t="s">
        <v>106</v>
      </c>
      <c r="C14" s="33" t="s">
        <v>104</v>
      </c>
      <c r="D14" s="58" t="s">
        <v>170</v>
      </c>
    </row>
    <row r="15" spans="1:4" x14ac:dyDescent="0.2">
      <c r="A15" s="61" t="s">
        <v>94</v>
      </c>
      <c r="B15" s="33" t="s">
        <v>68</v>
      </c>
      <c r="C15" s="33" t="s">
        <v>95</v>
      </c>
      <c r="D15" s="43" t="s">
        <v>166</v>
      </c>
    </row>
    <row r="16" spans="1:4" x14ac:dyDescent="0.2">
      <c r="A16" s="61" t="s">
        <v>102</v>
      </c>
      <c r="B16" s="33" t="s">
        <v>103</v>
      </c>
      <c r="C16" s="33" t="s">
        <v>104</v>
      </c>
      <c r="D16" s="43" t="s">
        <v>166</v>
      </c>
    </row>
    <row r="17" spans="1:5" x14ac:dyDescent="0.2">
      <c r="A17" s="61" t="s">
        <v>130</v>
      </c>
      <c r="B17" s="33" t="s">
        <v>131</v>
      </c>
      <c r="C17" s="33" t="s">
        <v>132</v>
      </c>
      <c r="D17" s="43" t="s">
        <v>171</v>
      </c>
    </row>
    <row r="18" spans="1:5" x14ac:dyDescent="0.2">
      <c r="A18" s="61" t="s">
        <v>147</v>
      </c>
      <c r="B18" s="33" t="s">
        <v>148</v>
      </c>
      <c r="C18" s="57" t="s">
        <v>149</v>
      </c>
      <c r="D18" s="43" t="s">
        <v>171</v>
      </c>
      <c r="E18" s="51"/>
    </row>
    <row r="19" spans="1:5" x14ac:dyDescent="0.2">
      <c r="A19" s="61" t="s">
        <v>76</v>
      </c>
      <c r="B19" s="33" t="s">
        <v>77</v>
      </c>
      <c r="C19" s="33" t="s">
        <v>78</v>
      </c>
      <c r="D19" s="43" t="s">
        <v>11</v>
      </c>
    </row>
    <row r="20" spans="1:5" x14ac:dyDescent="0.2">
      <c r="A20" s="61" t="s">
        <v>110</v>
      </c>
      <c r="B20" s="33" t="s">
        <v>111</v>
      </c>
      <c r="C20" s="33" t="s">
        <v>112</v>
      </c>
      <c r="D20" s="43" t="s">
        <v>11</v>
      </c>
    </row>
    <row r="21" spans="1:5" x14ac:dyDescent="0.2">
      <c r="A21" s="61" t="s">
        <v>31</v>
      </c>
      <c r="B21" s="33" t="s">
        <v>32</v>
      </c>
      <c r="C21" s="33" t="s">
        <v>33</v>
      </c>
      <c r="D21" s="43" t="s">
        <v>161</v>
      </c>
    </row>
    <row r="22" spans="1:5" x14ac:dyDescent="0.2">
      <c r="A22" s="61" t="s">
        <v>52</v>
      </c>
      <c r="B22" s="33" t="s">
        <v>53</v>
      </c>
      <c r="C22" s="33" t="s">
        <v>54</v>
      </c>
      <c r="D22" s="43" t="s">
        <v>161</v>
      </c>
    </row>
    <row r="23" spans="1:5" x14ac:dyDescent="0.2">
      <c r="A23" s="61" t="s">
        <v>49</v>
      </c>
      <c r="B23" s="33" t="s">
        <v>50</v>
      </c>
      <c r="C23" s="33" t="s">
        <v>51</v>
      </c>
      <c r="D23" s="43" t="s">
        <v>168</v>
      </c>
    </row>
    <row r="24" spans="1:5" x14ac:dyDescent="0.2">
      <c r="A24" s="61" t="s">
        <v>139</v>
      </c>
      <c r="B24" s="33" t="s">
        <v>140</v>
      </c>
      <c r="C24" s="33" t="s">
        <v>154</v>
      </c>
      <c r="D24" s="43" t="s">
        <v>168</v>
      </c>
    </row>
    <row r="25" spans="1:5" x14ac:dyDescent="0.2">
      <c r="A25" s="61" t="s">
        <v>63</v>
      </c>
      <c r="B25" s="33" t="s">
        <v>64</v>
      </c>
      <c r="C25" s="33" t="s">
        <v>157</v>
      </c>
      <c r="D25" s="43" t="s">
        <v>162</v>
      </c>
    </row>
    <row r="26" spans="1:5" x14ac:dyDescent="0.2">
      <c r="A26" s="61" t="s">
        <v>34</v>
      </c>
      <c r="B26" s="33" t="s">
        <v>35</v>
      </c>
      <c r="C26" s="33" t="s">
        <v>36</v>
      </c>
      <c r="D26" s="43" t="s">
        <v>162</v>
      </c>
    </row>
    <row r="27" spans="1:5" x14ac:dyDescent="0.2">
      <c r="A27" s="61" t="s">
        <v>61</v>
      </c>
      <c r="B27" s="33" t="s">
        <v>62</v>
      </c>
      <c r="C27" s="33" t="s">
        <v>150</v>
      </c>
      <c r="D27" s="58" t="s">
        <v>162</v>
      </c>
    </row>
    <row r="28" spans="1:5" x14ac:dyDescent="0.2">
      <c r="A28" s="61" t="s">
        <v>118</v>
      </c>
      <c r="B28" s="33" t="s">
        <v>119</v>
      </c>
      <c r="C28" s="33" t="s">
        <v>120</v>
      </c>
      <c r="D28" s="43" t="s">
        <v>173</v>
      </c>
    </row>
    <row r="29" spans="1:5" x14ac:dyDescent="0.2">
      <c r="A29" s="61" t="s">
        <v>135</v>
      </c>
      <c r="B29" s="33" t="s">
        <v>136</v>
      </c>
      <c r="C29" s="33" t="s">
        <v>137</v>
      </c>
      <c r="D29" s="43" t="s">
        <v>173</v>
      </c>
    </row>
    <row r="30" spans="1:5" x14ac:dyDescent="0.2">
      <c r="A30" s="61" t="s">
        <v>37</v>
      </c>
      <c r="B30" s="33" t="s">
        <v>38</v>
      </c>
      <c r="C30" s="33" t="s">
        <v>39</v>
      </c>
      <c r="D30" s="43" t="s">
        <v>174</v>
      </c>
    </row>
    <row r="31" spans="1:5" x14ac:dyDescent="0.2">
      <c r="A31" s="61" t="s">
        <v>141</v>
      </c>
      <c r="B31" s="33" t="s">
        <v>142</v>
      </c>
      <c r="C31" s="33" t="s">
        <v>143</v>
      </c>
      <c r="D31" s="43" t="s">
        <v>174</v>
      </c>
    </row>
    <row r="32" spans="1:5" x14ac:dyDescent="0.2">
      <c r="A32" s="61" t="s">
        <v>40</v>
      </c>
      <c r="B32" s="33" t="s">
        <v>41</v>
      </c>
      <c r="C32" s="33" t="s">
        <v>42</v>
      </c>
      <c r="D32" s="43" t="s">
        <v>169</v>
      </c>
    </row>
    <row r="33" spans="1:4" x14ac:dyDescent="0.2">
      <c r="A33" s="61" t="s">
        <v>107</v>
      </c>
      <c r="B33" s="33" t="s">
        <v>108</v>
      </c>
      <c r="C33" s="33" t="s">
        <v>109</v>
      </c>
      <c r="D33" s="43" t="s">
        <v>169</v>
      </c>
    </row>
    <row r="34" spans="1:4" x14ac:dyDescent="0.2">
      <c r="A34" s="61" t="s">
        <v>67</v>
      </c>
      <c r="B34" s="33" t="s">
        <v>68</v>
      </c>
      <c r="C34" s="33" t="s">
        <v>69</v>
      </c>
      <c r="D34" s="43" t="s">
        <v>176</v>
      </c>
    </row>
    <row r="35" spans="1:4" x14ac:dyDescent="0.2">
      <c r="A35" s="61" t="s">
        <v>99</v>
      </c>
      <c r="B35" s="33" t="s">
        <v>100</v>
      </c>
      <c r="C35" s="33" t="s">
        <v>101</v>
      </c>
      <c r="D35" s="43" t="s">
        <v>176</v>
      </c>
    </row>
    <row r="36" spans="1:4" x14ac:dyDescent="0.2">
      <c r="A36" s="65">
        <v>300290378</v>
      </c>
      <c r="B36" s="59" t="s">
        <v>152</v>
      </c>
      <c r="C36" s="60" t="s">
        <v>155</v>
      </c>
      <c r="D36" s="43" t="s">
        <v>163</v>
      </c>
    </row>
    <row r="37" spans="1:4" x14ac:dyDescent="0.2">
      <c r="A37" s="61" t="s">
        <v>124</v>
      </c>
      <c r="B37" s="33" t="s">
        <v>125</v>
      </c>
      <c r="C37" s="33" t="s">
        <v>126</v>
      </c>
      <c r="D37" s="43" t="s">
        <v>163</v>
      </c>
    </row>
    <row r="38" spans="1:4" x14ac:dyDescent="0.2">
      <c r="A38" s="61" t="s">
        <v>46</v>
      </c>
      <c r="B38" s="33" t="s">
        <v>47</v>
      </c>
      <c r="C38" s="33" t="s">
        <v>48</v>
      </c>
      <c r="D38" s="43" t="s">
        <v>175</v>
      </c>
    </row>
    <row r="39" spans="1:4" x14ac:dyDescent="0.2">
      <c r="A39" s="61" t="s">
        <v>58</v>
      </c>
      <c r="B39" s="33" t="s">
        <v>59</v>
      </c>
      <c r="C39" s="33" t="s">
        <v>60</v>
      </c>
      <c r="D39" s="43" t="s">
        <v>175</v>
      </c>
    </row>
    <row r="40" spans="1:4" x14ac:dyDescent="0.2">
      <c r="A40" s="61" t="s">
        <v>113</v>
      </c>
      <c r="B40" s="33" t="s">
        <v>68</v>
      </c>
      <c r="C40" s="33" t="s">
        <v>114</v>
      </c>
      <c r="D40" s="43" t="s">
        <v>175</v>
      </c>
    </row>
    <row r="41" spans="1:4" x14ac:dyDescent="0.2">
      <c r="A41" s="61" t="s">
        <v>70</v>
      </c>
      <c r="B41" s="33" t="s">
        <v>71</v>
      </c>
      <c r="C41" s="33" t="s">
        <v>72</v>
      </c>
      <c r="D41" s="58" t="s">
        <v>172</v>
      </c>
    </row>
    <row r="42" spans="1:4" x14ac:dyDescent="0.2">
      <c r="A42" s="61" t="s">
        <v>138</v>
      </c>
      <c r="B42" s="33" t="s">
        <v>71</v>
      </c>
      <c r="C42" s="33" t="s">
        <v>137</v>
      </c>
      <c r="D42" s="58" t="s">
        <v>172</v>
      </c>
    </row>
    <row r="43" spans="1:4" x14ac:dyDescent="0.2">
      <c r="A43" s="61" t="s">
        <v>96</v>
      </c>
      <c r="B43" s="33" t="s">
        <v>97</v>
      </c>
      <c r="C43" s="33" t="s">
        <v>98</v>
      </c>
      <c r="D43" s="43" t="s">
        <v>177</v>
      </c>
    </row>
    <row r="44" spans="1:4" x14ac:dyDescent="0.2">
      <c r="A44" s="61" t="s">
        <v>115</v>
      </c>
      <c r="B44" s="33" t="s">
        <v>116</v>
      </c>
      <c r="C44" s="33" t="s">
        <v>117</v>
      </c>
      <c r="D44" s="43" t="s">
        <v>177</v>
      </c>
    </row>
    <row r="45" spans="1:4" x14ac:dyDescent="0.2">
      <c r="A45" s="61" t="s">
        <v>88</v>
      </c>
      <c r="B45" s="33" t="s">
        <v>89</v>
      </c>
      <c r="C45" s="33" t="s">
        <v>90</v>
      </c>
      <c r="D45" s="43" t="s">
        <v>165</v>
      </c>
    </row>
    <row r="46" spans="1:4" x14ac:dyDescent="0.2">
      <c r="A46" s="61" t="s">
        <v>121</v>
      </c>
      <c r="B46" s="33" t="s">
        <v>122</v>
      </c>
      <c r="C46" s="33" t="s">
        <v>123</v>
      </c>
      <c r="D46" s="43" t="s">
        <v>165</v>
      </c>
    </row>
    <row r="53" spans="4:4" x14ac:dyDescent="0.2">
      <c r="D53" s="22">
        <f>160/23</f>
        <v>6.9565217391304346</v>
      </c>
    </row>
  </sheetData>
  <autoFilter ref="A1:D1">
    <sortState ref="A2:D46">
      <sortCondition ref="D1"/>
    </sortState>
  </autoFilter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workbookViewId="0">
      <pane xSplit="3" topLeftCell="D1" activePane="topRight" state="frozen"/>
      <selection pane="topRight" activeCell="H2" sqref="H2"/>
    </sheetView>
  </sheetViews>
  <sheetFormatPr defaultRowHeight="12.75" x14ac:dyDescent="0.2"/>
  <cols>
    <col min="1" max="1" width="14.140625" customWidth="1"/>
    <col min="3" max="3" width="16.42578125" bestFit="1" customWidth="1"/>
    <col min="4" max="4" width="10" style="52" customWidth="1"/>
    <col min="5" max="5" width="7.5703125" style="4" customWidth="1"/>
    <col min="6" max="7" width="8.140625" customWidth="1"/>
    <col min="8" max="8" width="11.140625" style="72" customWidth="1"/>
    <col min="9" max="10" width="11.140625" customWidth="1"/>
  </cols>
  <sheetData>
    <row r="1" spans="1:10" s="48" customFormat="1" x14ac:dyDescent="0.2">
      <c r="A1" s="48" t="s">
        <v>186</v>
      </c>
      <c r="B1" s="48" t="s">
        <v>187</v>
      </c>
      <c r="C1" s="48" t="s">
        <v>182</v>
      </c>
      <c r="D1" s="24" t="s">
        <v>189</v>
      </c>
      <c r="E1" s="54" t="s">
        <v>188</v>
      </c>
      <c r="F1" s="48" t="s">
        <v>190</v>
      </c>
      <c r="G1" s="48" t="s">
        <v>191</v>
      </c>
      <c r="H1" s="72" t="s">
        <v>194</v>
      </c>
      <c r="I1" s="48" t="s">
        <v>192</v>
      </c>
      <c r="J1" s="48" t="s">
        <v>193</v>
      </c>
    </row>
    <row r="2" spans="1:10" x14ac:dyDescent="0.2">
      <c r="A2" s="32" t="s">
        <v>28</v>
      </c>
      <c r="B2" s="33" t="s">
        <v>29</v>
      </c>
      <c r="C2" s="33" t="s">
        <v>30</v>
      </c>
      <c r="F2" s="5"/>
      <c r="G2" s="21">
        <v>20</v>
      </c>
      <c r="H2" s="73">
        <f>Table1[[#This Row],[Exam 4]]/35*100</f>
        <v>57.142857142857139</v>
      </c>
    </row>
    <row r="3" spans="1:10" x14ac:dyDescent="0.2">
      <c r="A3" s="32" t="s">
        <v>63</v>
      </c>
      <c r="B3" s="33" t="s">
        <v>64</v>
      </c>
      <c r="C3" s="33" t="s">
        <v>157</v>
      </c>
      <c r="F3" s="5"/>
      <c r="G3" s="21">
        <v>22</v>
      </c>
      <c r="H3" s="73">
        <f>Table1[[#This Row],[Exam 4]]/35*100</f>
        <v>62.857142857142854</v>
      </c>
    </row>
    <row r="4" spans="1:10" x14ac:dyDescent="0.2">
      <c r="A4" s="32" t="s">
        <v>31</v>
      </c>
      <c r="B4" s="33" t="s">
        <v>32</v>
      </c>
      <c r="C4" s="33" t="s">
        <v>33</v>
      </c>
      <c r="F4" s="5"/>
      <c r="G4" s="21">
        <v>15</v>
      </c>
      <c r="H4" s="73">
        <f>Table1[[#This Row],[Exam 4]]/35*100</f>
        <v>42.857142857142854</v>
      </c>
    </row>
    <row r="5" spans="1:10" x14ac:dyDescent="0.2">
      <c r="A5" s="32" t="s">
        <v>34</v>
      </c>
      <c r="B5" s="33" t="s">
        <v>35</v>
      </c>
      <c r="C5" s="33" t="s">
        <v>36</v>
      </c>
      <c r="F5" s="62"/>
      <c r="G5" s="21">
        <v>12</v>
      </c>
      <c r="H5" s="73">
        <f>Table1[[#This Row],[Exam 4]]/35*100</f>
        <v>34.285714285714285</v>
      </c>
    </row>
    <row r="6" spans="1:10" x14ac:dyDescent="0.2">
      <c r="A6" s="32" t="s">
        <v>37</v>
      </c>
      <c r="B6" s="33" t="s">
        <v>38</v>
      </c>
      <c r="C6" s="33" t="s">
        <v>39</v>
      </c>
      <c r="F6" s="5"/>
      <c r="G6" s="21">
        <v>23</v>
      </c>
      <c r="H6" s="73">
        <f>Table1[[#This Row],[Exam 4]]/35*100</f>
        <v>65.714285714285708</v>
      </c>
    </row>
    <row r="7" spans="1:10" x14ac:dyDescent="0.2">
      <c r="A7" s="32" t="s">
        <v>40</v>
      </c>
      <c r="B7" s="33" t="s">
        <v>41</v>
      </c>
      <c r="C7" s="33" t="s">
        <v>42</v>
      </c>
      <c r="F7" s="5"/>
      <c r="G7" s="21">
        <v>26</v>
      </c>
      <c r="H7" s="73">
        <f>Table1[[#This Row],[Exam 4]]/35*100</f>
        <v>74.285714285714292</v>
      </c>
    </row>
    <row r="8" spans="1:10" s="71" customFormat="1" x14ac:dyDescent="0.2">
      <c r="A8" s="70" t="s">
        <v>65</v>
      </c>
      <c r="B8" s="70" t="s">
        <v>66</v>
      </c>
      <c r="C8" s="70" t="s">
        <v>151</v>
      </c>
      <c r="D8" s="74"/>
      <c r="E8" s="75"/>
      <c r="F8" s="76"/>
      <c r="G8" s="76"/>
      <c r="H8" s="77">
        <f>Table1[[#This Row],[Exam 4]]/35*100</f>
        <v>0</v>
      </c>
    </row>
    <row r="9" spans="1:10" x14ac:dyDescent="0.2">
      <c r="A9" s="32" t="s">
        <v>43</v>
      </c>
      <c r="B9" s="33" t="s">
        <v>44</v>
      </c>
      <c r="C9" s="33" t="s">
        <v>45</v>
      </c>
      <c r="F9" s="5"/>
      <c r="G9" s="21">
        <v>29</v>
      </c>
      <c r="H9" s="73">
        <f>Table1[[#This Row],[Exam 4]]/35*100</f>
        <v>82.857142857142861</v>
      </c>
    </row>
    <row r="10" spans="1:10" x14ac:dyDescent="0.2">
      <c r="A10" s="32" t="s">
        <v>46</v>
      </c>
      <c r="B10" s="33" t="s">
        <v>47</v>
      </c>
      <c r="C10" s="33" t="s">
        <v>48</v>
      </c>
      <c r="F10" s="5"/>
      <c r="G10" s="21">
        <v>24</v>
      </c>
      <c r="H10" s="73">
        <f>Table1[[#This Row],[Exam 4]]/35*100</f>
        <v>68.571428571428569</v>
      </c>
    </row>
    <row r="11" spans="1:10" x14ac:dyDescent="0.2">
      <c r="A11" s="32" t="s">
        <v>49</v>
      </c>
      <c r="B11" s="33" t="s">
        <v>50</v>
      </c>
      <c r="C11" s="33" t="s">
        <v>51</v>
      </c>
      <c r="F11" s="5"/>
      <c r="G11" s="21">
        <v>24</v>
      </c>
      <c r="H11" s="73">
        <f>Table1[[#This Row],[Exam 4]]/35*100</f>
        <v>68.571428571428569</v>
      </c>
    </row>
    <row r="12" spans="1:10" x14ac:dyDescent="0.2">
      <c r="A12" s="32" t="s">
        <v>61</v>
      </c>
      <c r="B12" s="33" t="s">
        <v>62</v>
      </c>
      <c r="C12" s="33" t="s">
        <v>150</v>
      </c>
      <c r="F12" s="5"/>
      <c r="G12" s="21">
        <v>29</v>
      </c>
      <c r="H12" s="73">
        <f>Table1[[#This Row],[Exam 4]]/35*100</f>
        <v>82.857142857142861</v>
      </c>
    </row>
    <row r="13" spans="1:10" x14ac:dyDescent="0.2">
      <c r="A13" s="32" t="s">
        <v>133</v>
      </c>
      <c r="B13" s="33" t="s">
        <v>134</v>
      </c>
      <c r="C13" s="33" t="s">
        <v>153</v>
      </c>
      <c r="F13" s="62"/>
      <c r="G13" s="62"/>
      <c r="H13" s="73">
        <f>Table1[[#This Row],[Exam 4]]/35*100</f>
        <v>0</v>
      </c>
    </row>
    <row r="14" spans="1:10" x14ac:dyDescent="0.2">
      <c r="A14" s="32" t="s">
        <v>52</v>
      </c>
      <c r="B14" s="33" t="s">
        <v>53</v>
      </c>
      <c r="C14" s="33" t="s">
        <v>54</v>
      </c>
      <c r="F14" s="62"/>
      <c r="G14" s="62"/>
      <c r="H14" s="73">
        <f>Table1[[#This Row],[Exam 4]]/35*100</f>
        <v>0</v>
      </c>
    </row>
    <row r="15" spans="1:10" x14ac:dyDescent="0.2">
      <c r="A15" s="32" t="s">
        <v>55</v>
      </c>
      <c r="B15" s="33" t="s">
        <v>56</v>
      </c>
      <c r="C15" s="33" t="s">
        <v>57</v>
      </c>
      <c r="F15" s="5"/>
      <c r="G15" s="21">
        <v>26</v>
      </c>
      <c r="H15" s="73">
        <f>Table1[[#This Row],[Exam 4]]/35*100</f>
        <v>74.285714285714292</v>
      </c>
    </row>
    <row r="16" spans="1:10" x14ac:dyDescent="0.2">
      <c r="A16" s="32" t="s">
        <v>139</v>
      </c>
      <c r="B16" s="33" t="s">
        <v>140</v>
      </c>
      <c r="C16" s="33" t="s">
        <v>154</v>
      </c>
      <c r="F16" s="5"/>
      <c r="G16" s="21">
        <v>26</v>
      </c>
      <c r="H16" s="73">
        <f>Table1[[#This Row],[Exam 4]]/35*100</f>
        <v>74.285714285714292</v>
      </c>
    </row>
    <row r="17" spans="1:8" x14ac:dyDescent="0.2">
      <c r="A17" s="32" t="s">
        <v>58</v>
      </c>
      <c r="B17" s="33" t="s">
        <v>59</v>
      </c>
      <c r="C17" s="33" t="s">
        <v>60</v>
      </c>
      <c r="F17" s="5"/>
      <c r="G17" s="21">
        <v>22</v>
      </c>
      <c r="H17" s="73">
        <f>Table1[[#This Row],[Exam 4]]/35*100</f>
        <v>62.857142857142854</v>
      </c>
    </row>
    <row r="18" spans="1:8" x14ac:dyDescent="0.2">
      <c r="A18" s="32" t="s">
        <v>67</v>
      </c>
      <c r="B18" s="33" t="s">
        <v>68</v>
      </c>
      <c r="C18" s="33" t="s">
        <v>69</v>
      </c>
      <c r="F18" s="62"/>
      <c r="G18" s="21">
        <v>21</v>
      </c>
      <c r="H18" s="73">
        <f>Table1[[#This Row],[Exam 4]]/35*100</f>
        <v>60</v>
      </c>
    </row>
    <row r="19" spans="1:8" x14ac:dyDescent="0.2">
      <c r="A19" s="32" t="s">
        <v>70</v>
      </c>
      <c r="B19" s="33" t="s">
        <v>71</v>
      </c>
      <c r="C19" s="33" t="s">
        <v>72</v>
      </c>
      <c r="F19" s="62"/>
      <c r="G19" s="21">
        <v>25</v>
      </c>
      <c r="H19" s="73">
        <f>Table1[[#This Row],[Exam 4]]/35*100</f>
        <v>71.428571428571431</v>
      </c>
    </row>
    <row r="20" spans="1:8" x14ac:dyDescent="0.2">
      <c r="A20" s="32" t="s">
        <v>73</v>
      </c>
      <c r="B20" s="33" t="s">
        <v>74</v>
      </c>
      <c r="C20" s="33" t="s">
        <v>75</v>
      </c>
      <c r="F20" s="5"/>
      <c r="G20" s="21">
        <v>25</v>
      </c>
      <c r="H20" s="73">
        <f>Table1[[#This Row],[Exam 4]]/35*100</f>
        <v>71.428571428571431</v>
      </c>
    </row>
    <row r="21" spans="1:8" x14ac:dyDescent="0.2">
      <c r="A21" s="32" t="s">
        <v>76</v>
      </c>
      <c r="B21" s="33" t="s">
        <v>77</v>
      </c>
      <c r="C21" s="33" t="s">
        <v>78</v>
      </c>
      <c r="F21" s="5"/>
      <c r="G21" s="21">
        <v>26</v>
      </c>
      <c r="H21" s="73">
        <f>Table1[[#This Row],[Exam 4]]/35*100</f>
        <v>74.285714285714292</v>
      </c>
    </row>
    <row r="22" spans="1:8" x14ac:dyDescent="0.2">
      <c r="A22" s="32" t="s">
        <v>79</v>
      </c>
      <c r="B22" s="33" t="s">
        <v>80</v>
      </c>
      <c r="C22" s="33" t="s">
        <v>81</v>
      </c>
      <c r="F22" s="5"/>
      <c r="G22" s="21">
        <v>17</v>
      </c>
      <c r="H22" s="73">
        <f>Table1[[#This Row],[Exam 4]]/35*100</f>
        <v>48.571428571428569</v>
      </c>
    </row>
    <row r="23" spans="1:8" x14ac:dyDescent="0.2">
      <c r="A23" s="32" t="s">
        <v>82</v>
      </c>
      <c r="B23" s="33" t="s">
        <v>83</v>
      </c>
      <c r="C23" s="33" t="s">
        <v>84</v>
      </c>
      <c r="F23" s="5"/>
      <c r="G23" s="21">
        <v>30</v>
      </c>
      <c r="H23" s="73">
        <f>Table1[[#This Row],[Exam 4]]/35*100</f>
        <v>85.714285714285708</v>
      </c>
    </row>
    <row r="24" spans="1:8" x14ac:dyDescent="0.2">
      <c r="A24" s="32" t="s">
        <v>85</v>
      </c>
      <c r="B24" s="33" t="s">
        <v>86</v>
      </c>
      <c r="C24" s="33" t="s">
        <v>87</v>
      </c>
      <c r="F24" s="5"/>
      <c r="G24" s="21">
        <v>21</v>
      </c>
      <c r="H24" s="73">
        <f>Table1[[#This Row],[Exam 4]]/35*100</f>
        <v>60</v>
      </c>
    </row>
    <row r="25" spans="1:8" x14ac:dyDescent="0.2">
      <c r="A25" s="32" t="s">
        <v>88</v>
      </c>
      <c r="B25" s="33" t="s">
        <v>89</v>
      </c>
      <c r="C25" s="33" t="s">
        <v>90</v>
      </c>
      <c r="F25" s="5"/>
      <c r="G25" s="62"/>
      <c r="H25" s="73">
        <f>Table1[[#This Row],[Exam 4]]/35*100</f>
        <v>0</v>
      </c>
    </row>
    <row r="26" spans="1:8" x14ac:dyDescent="0.2">
      <c r="A26" s="32" t="s">
        <v>91</v>
      </c>
      <c r="B26" s="33" t="s">
        <v>92</v>
      </c>
      <c r="C26" s="33" t="s">
        <v>93</v>
      </c>
      <c r="F26" s="5"/>
      <c r="G26" s="21">
        <v>28</v>
      </c>
      <c r="H26" s="73">
        <f>Table1[[#This Row],[Exam 4]]/35*100</f>
        <v>80</v>
      </c>
    </row>
    <row r="27" spans="1:8" x14ac:dyDescent="0.2">
      <c r="A27" s="32" t="s">
        <v>94</v>
      </c>
      <c r="B27" s="33" t="s">
        <v>119</v>
      </c>
      <c r="C27" s="33" t="s">
        <v>95</v>
      </c>
      <c r="F27" s="5"/>
      <c r="G27" s="21">
        <v>16</v>
      </c>
      <c r="H27" s="73">
        <f>Table1[[#This Row],[Exam 4]]/35*100</f>
        <v>45.714285714285715</v>
      </c>
    </row>
    <row r="28" spans="1:8" x14ac:dyDescent="0.2">
      <c r="A28" s="32" t="s">
        <v>96</v>
      </c>
      <c r="B28" s="33" t="s">
        <v>97</v>
      </c>
      <c r="C28" s="33" t="s">
        <v>98</v>
      </c>
      <c r="F28" s="5"/>
      <c r="G28" s="21">
        <v>26</v>
      </c>
      <c r="H28" s="73">
        <f>Table1[[#This Row],[Exam 4]]/35*100</f>
        <v>74.285714285714292</v>
      </c>
    </row>
    <row r="29" spans="1:8" x14ac:dyDescent="0.2">
      <c r="A29" s="32" t="s">
        <v>99</v>
      </c>
      <c r="B29" s="33" t="s">
        <v>100</v>
      </c>
      <c r="C29" s="33" t="s">
        <v>101</v>
      </c>
      <c r="F29" s="5"/>
      <c r="G29" s="21">
        <v>16</v>
      </c>
      <c r="H29" s="73">
        <f>Table1[[#This Row],[Exam 4]]/35*100</f>
        <v>45.714285714285715</v>
      </c>
    </row>
    <row r="30" spans="1:8" x14ac:dyDescent="0.2">
      <c r="A30" s="32" t="s">
        <v>102</v>
      </c>
      <c r="B30" s="33" t="s">
        <v>103</v>
      </c>
      <c r="C30" s="33" t="s">
        <v>104</v>
      </c>
      <c r="F30" s="5"/>
      <c r="G30" s="21">
        <v>25</v>
      </c>
      <c r="H30" s="73">
        <f>Table1[[#This Row],[Exam 4]]/35*100</f>
        <v>71.428571428571431</v>
      </c>
    </row>
    <row r="31" spans="1:8" x14ac:dyDescent="0.2">
      <c r="A31" s="32" t="s">
        <v>105</v>
      </c>
      <c r="B31" s="33" t="s">
        <v>106</v>
      </c>
      <c r="C31" s="33" t="s">
        <v>104</v>
      </c>
      <c r="F31" s="5"/>
      <c r="G31" s="21">
        <v>31</v>
      </c>
      <c r="H31" s="73">
        <f>Table1[[#This Row],[Exam 4]]/35*100</f>
        <v>88.571428571428569</v>
      </c>
    </row>
    <row r="32" spans="1:8" x14ac:dyDescent="0.2">
      <c r="A32" s="32" t="s">
        <v>107</v>
      </c>
      <c r="B32" s="33" t="s">
        <v>108</v>
      </c>
      <c r="C32" s="33" t="s">
        <v>109</v>
      </c>
      <c r="F32" s="5"/>
      <c r="G32" s="21">
        <v>29</v>
      </c>
      <c r="H32" s="73">
        <f>Table1[[#This Row],[Exam 4]]/35*100</f>
        <v>82.857142857142861</v>
      </c>
    </row>
    <row r="33" spans="1:8" x14ac:dyDescent="0.2">
      <c r="A33" s="32" t="s">
        <v>110</v>
      </c>
      <c r="B33" s="33" t="s">
        <v>111</v>
      </c>
      <c r="C33" s="33" t="s">
        <v>112</v>
      </c>
      <c r="F33" s="5"/>
      <c r="G33" s="21">
        <v>26</v>
      </c>
      <c r="H33" s="73">
        <f>Table1[[#This Row],[Exam 4]]/35*100</f>
        <v>74.285714285714292</v>
      </c>
    </row>
    <row r="34" spans="1:8" x14ac:dyDescent="0.2">
      <c r="A34" s="32" t="s">
        <v>113</v>
      </c>
      <c r="B34" s="33" t="s">
        <v>119</v>
      </c>
      <c r="C34" s="33" t="s">
        <v>114</v>
      </c>
      <c r="F34" s="5"/>
      <c r="G34" s="21">
        <v>23</v>
      </c>
      <c r="H34" s="73">
        <f>Table1[[#This Row],[Exam 4]]/35*100</f>
        <v>65.714285714285708</v>
      </c>
    </row>
    <row r="35" spans="1:8" x14ac:dyDescent="0.2">
      <c r="A35" s="32" t="s">
        <v>115</v>
      </c>
      <c r="B35" s="33" t="s">
        <v>116</v>
      </c>
      <c r="C35" s="33" t="s">
        <v>117</v>
      </c>
      <c r="F35" s="5"/>
      <c r="G35" s="21">
        <v>29</v>
      </c>
      <c r="H35" s="73">
        <f>Table1[[#This Row],[Exam 4]]/35*100</f>
        <v>82.857142857142861</v>
      </c>
    </row>
    <row r="36" spans="1:8" x14ac:dyDescent="0.2">
      <c r="A36" s="36">
        <v>300290378</v>
      </c>
      <c r="B36" s="35" t="s">
        <v>152</v>
      </c>
      <c r="C36" s="33" t="s">
        <v>155</v>
      </c>
      <c r="F36" s="5"/>
      <c r="G36" s="21">
        <v>28</v>
      </c>
      <c r="H36" s="73">
        <f>Table1[[#This Row],[Exam 4]]/35*100</f>
        <v>80</v>
      </c>
    </row>
    <row r="37" spans="1:8" x14ac:dyDescent="0.2">
      <c r="A37" s="32" t="s">
        <v>118</v>
      </c>
      <c r="B37" s="33" t="s">
        <v>119</v>
      </c>
      <c r="C37" s="33" t="s">
        <v>120</v>
      </c>
      <c r="F37" s="5"/>
      <c r="G37" s="21">
        <v>18</v>
      </c>
      <c r="H37" s="73">
        <f>Table1[[#This Row],[Exam 4]]/35*100</f>
        <v>51.428571428571423</v>
      </c>
    </row>
    <row r="38" spans="1:8" x14ac:dyDescent="0.2">
      <c r="A38" s="32" t="s">
        <v>121</v>
      </c>
      <c r="B38" s="33" t="s">
        <v>122</v>
      </c>
      <c r="C38" s="33" t="s">
        <v>123</v>
      </c>
      <c r="F38" s="5"/>
      <c r="G38" s="62"/>
      <c r="H38" s="73">
        <f>Table1[[#This Row],[Exam 4]]/35*100</f>
        <v>0</v>
      </c>
    </row>
    <row r="39" spans="1:8" x14ac:dyDescent="0.2">
      <c r="A39" s="32" t="s">
        <v>124</v>
      </c>
      <c r="B39" s="33" t="s">
        <v>125</v>
      </c>
      <c r="C39" s="33" t="s">
        <v>126</v>
      </c>
      <c r="F39" s="5"/>
      <c r="G39" s="21">
        <v>20</v>
      </c>
      <c r="H39" s="73">
        <f>Table1[[#This Row],[Exam 4]]/35*100</f>
        <v>57.142857142857139</v>
      </c>
    </row>
    <row r="40" spans="1:8" x14ac:dyDescent="0.2">
      <c r="A40" s="32" t="s">
        <v>127</v>
      </c>
      <c r="B40" s="33" t="s">
        <v>128</v>
      </c>
      <c r="C40" s="33" t="s">
        <v>129</v>
      </c>
      <c r="F40" s="5"/>
      <c r="G40" s="21">
        <v>26</v>
      </c>
      <c r="H40" s="73">
        <f>Table1[[#This Row],[Exam 4]]/35*100</f>
        <v>74.285714285714292</v>
      </c>
    </row>
    <row r="41" spans="1:8" x14ac:dyDescent="0.2">
      <c r="A41" s="32" t="s">
        <v>130</v>
      </c>
      <c r="B41" s="33" t="s">
        <v>131</v>
      </c>
      <c r="C41" s="33" t="s">
        <v>132</v>
      </c>
      <c r="F41" s="5"/>
      <c r="G41" s="21">
        <v>20</v>
      </c>
      <c r="H41" s="73">
        <f>Table1[[#This Row],[Exam 4]]/35*100</f>
        <v>57.142857142857139</v>
      </c>
    </row>
    <row r="42" spans="1:8" x14ac:dyDescent="0.2">
      <c r="A42" s="32" t="s">
        <v>135</v>
      </c>
      <c r="B42" s="33" t="s">
        <v>136</v>
      </c>
      <c r="C42" s="33" t="s">
        <v>137</v>
      </c>
      <c r="F42" s="5"/>
      <c r="G42" s="21">
        <v>23</v>
      </c>
      <c r="H42" s="73">
        <f>Table1[[#This Row],[Exam 4]]/35*100</f>
        <v>65.714285714285708</v>
      </c>
    </row>
    <row r="43" spans="1:8" x14ac:dyDescent="0.2">
      <c r="A43" s="32" t="s">
        <v>138</v>
      </c>
      <c r="B43" s="33" t="s">
        <v>71</v>
      </c>
      <c r="C43" s="33" t="s">
        <v>137</v>
      </c>
      <c r="F43" s="5"/>
      <c r="G43" s="21">
        <v>22</v>
      </c>
      <c r="H43" s="73">
        <f>Table1[[#This Row],[Exam 4]]/35*100</f>
        <v>62.857142857142854</v>
      </c>
    </row>
    <row r="44" spans="1:8" x14ac:dyDescent="0.2">
      <c r="A44" s="32" t="s">
        <v>141</v>
      </c>
      <c r="B44" s="33" t="s">
        <v>142</v>
      </c>
      <c r="C44" s="33" t="s">
        <v>143</v>
      </c>
      <c r="F44" s="5"/>
      <c r="G44" s="21">
        <v>9</v>
      </c>
      <c r="H44" s="73">
        <f>Table1[[#This Row],[Exam 4]]/35*100</f>
        <v>25.714285714285712</v>
      </c>
    </row>
    <row r="45" spans="1:8" x14ac:dyDescent="0.2">
      <c r="A45" s="32" t="s">
        <v>144</v>
      </c>
      <c r="B45" s="33" t="s">
        <v>145</v>
      </c>
      <c r="C45" s="33" t="s">
        <v>146</v>
      </c>
      <c r="F45" s="5"/>
      <c r="G45" s="62"/>
      <c r="H45" s="73">
        <f>Table1[[#This Row],[Exam 4]]/35*100</f>
        <v>0</v>
      </c>
    </row>
    <row r="46" spans="1:8" x14ac:dyDescent="0.2">
      <c r="A46" s="32" t="s">
        <v>147</v>
      </c>
      <c r="B46" s="33" t="s">
        <v>148</v>
      </c>
      <c r="C46" s="33" t="s">
        <v>149</v>
      </c>
      <c r="F46" s="5"/>
      <c r="G46" s="21">
        <v>14</v>
      </c>
      <c r="H46" s="73">
        <f>Table1[[#This Row],[Exam 4]]/35*100</f>
        <v>40</v>
      </c>
    </row>
  </sheetData>
  <conditionalFormatting sqref="E1:E1048576">
    <cfRule type="cellIs" dxfId="9" priority="2" operator="lessThan">
      <formula>0.5</formula>
    </cfRule>
  </conditionalFormatting>
  <conditionalFormatting sqref="H2:H46">
    <cfRule type="cellIs" dxfId="8" priority="1" operator="lessThan">
      <formula>50</formula>
    </cfRule>
  </conditionalFormatting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zoomScaleNormal="100" workbookViewId="0">
      <selection activeCell="B6" sqref="B6"/>
    </sheetView>
  </sheetViews>
  <sheetFormatPr defaultRowHeight="12.75" x14ac:dyDescent="0.2"/>
  <cols>
    <col min="1" max="1" width="22.85546875" customWidth="1"/>
    <col min="2" max="2" width="12.5703125" bestFit="1" customWidth="1"/>
    <col min="4" max="4" width="0" hidden="1" customWidth="1"/>
    <col min="5" max="5" width="5.28515625" bestFit="1" customWidth="1"/>
    <col min="6" max="6" width="6.7109375" bestFit="1" customWidth="1"/>
    <col min="7" max="7" width="5.140625" bestFit="1" customWidth="1"/>
    <col min="8" max="12" width="3" bestFit="1" customWidth="1"/>
    <col min="15" max="15" width="7.28515625" customWidth="1"/>
    <col min="16" max="16" width="4" bestFit="1" customWidth="1"/>
    <col min="17" max="18" width="4.28515625" bestFit="1" customWidth="1"/>
    <col min="19" max="19" width="4.7109375" bestFit="1" customWidth="1"/>
    <col min="20" max="27" width="4.28515625" bestFit="1" customWidth="1"/>
    <col min="28" max="28" width="5" bestFit="1" customWidth="1"/>
    <col min="29" max="29" width="4.7109375" bestFit="1" customWidth="1"/>
    <col min="30" max="32" width="5" bestFit="1" customWidth="1"/>
    <col min="33" max="33" width="5.42578125" bestFit="1" customWidth="1"/>
    <col min="34" max="34" width="5" bestFit="1" customWidth="1"/>
    <col min="35" max="35" width="9.85546875" bestFit="1" customWidth="1"/>
    <col min="36" max="36" width="4.28515625" bestFit="1" customWidth="1"/>
    <col min="37" max="45" width="2" bestFit="1" customWidth="1"/>
    <col min="46" max="46" width="7.7109375" bestFit="1" customWidth="1"/>
  </cols>
  <sheetData>
    <row r="4" spans="1:3" x14ac:dyDescent="0.2">
      <c r="A4" t="s">
        <v>20</v>
      </c>
      <c r="B4" t="e">
        <f>VLOOKUP(B6,'FINAL GRADES'!A5:K48,2,FALSE)</f>
        <v>#N/A</v>
      </c>
    </row>
    <row r="5" spans="1:3" x14ac:dyDescent="0.2">
      <c r="A5" t="s">
        <v>21</v>
      </c>
      <c r="B5" t="e">
        <f>VLOOKUP(B7,'FINAL GRADES'!A6:K49,3,FALSE)</f>
        <v>#N/A</v>
      </c>
    </row>
    <row r="6" spans="1:3" x14ac:dyDescent="0.2">
      <c r="A6" t="s">
        <v>2</v>
      </c>
      <c r="B6" s="107">
        <v>300296198</v>
      </c>
    </row>
    <row r="7" spans="1:3" x14ac:dyDescent="0.2">
      <c r="A7" t="s">
        <v>218</v>
      </c>
      <c r="B7" s="4"/>
      <c r="C7" s="24" t="str">
        <f>IF(B7&gt;=49.5%,"Pass","Fail")</f>
        <v>Fail</v>
      </c>
    </row>
    <row r="8" spans="1:3" x14ac:dyDescent="0.2">
      <c r="A8" t="s">
        <v>212</v>
      </c>
      <c r="B8" s="23"/>
    </row>
    <row r="9" spans="1:3" x14ac:dyDescent="0.2">
      <c r="A9" t="s">
        <v>213</v>
      </c>
      <c r="B9" s="4"/>
    </row>
    <row r="10" spans="1:3" x14ac:dyDescent="0.2">
      <c r="A10" t="s">
        <v>214</v>
      </c>
    </row>
    <row r="11" spans="1:3" x14ac:dyDescent="0.2">
      <c r="A11" t="s">
        <v>215</v>
      </c>
    </row>
    <row r="12" spans="1:3" x14ac:dyDescent="0.2">
      <c r="A12" t="s">
        <v>216</v>
      </c>
    </row>
    <row r="13" spans="1:3" x14ac:dyDescent="0.2">
      <c r="A13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FINAL GRADES</vt:lpstr>
      <vt:lpstr>Grades</vt:lpstr>
      <vt:lpstr>GROUPINGS</vt:lpstr>
      <vt:lpstr>Exam Charts</vt:lpstr>
      <vt:lpstr>Form</vt:lpstr>
      <vt:lpstr>Sheet2</vt:lpstr>
      <vt:lpstr>'FINAL GRADES'!grades</vt:lpstr>
      <vt:lpstr>grades</vt:lpstr>
      <vt:lpstr>'FINAL GRADES'!table</vt:lpstr>
      <vt:lpstr>table</vt:lpstr>
    </vt:vector>
  </TitlesOfParts>
  <Company>Okanagan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300126945</dc:creator>
  <cp:lastModifiedBy>Pamela Nelson</cp:lastModifiedBy>
  <cp:lastPrinted>2019-04-08T21:16:12Z</cp:lastPrinted>
  <dcterms:created xsi:type="dcterms:W3CDTF">2012-01-25T23:25:26Z</dcterms:created>
  <dcterms:modified xsi:type="dcterms:W3CDTF">2019-05-21T00:30:15Z</dcterms:modified>
</cp:coreProperties>
</file>